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10" tabRatio="1000" activeTab="0"/>
  </bookViews>
  <sheets>
    <sheet name="7885 - BEPS" sheetId="1" r:id="rId1"/>
    <sheet name="7880 - Lecturas" sheetId="2" r:id="rId2"/>
    <sheet name="7656 - Internacionalización " sheetId="3" r:id="rId3"/>
    <sheet name="7884 - Formación" sheetId="4" r:id="rId4"/>
    <sheet name="7648 - Territorial " sheetId="5" r:id="rId5"/>
    <sheet name="7650 - Fomento" sheetId="6" r:id="rId6"/>
    <sheet name="7654 - Infraestructura" sheetId="7" r:id="rId7"/>
    <sheet name="7886 - Patrimonio" sheetId="8" r:id="rId8"/>
    <sheet name="7881 - Des. social" sheetId="9" r:id="rId9"/>
    <sheet name="7887 - Esp. Público " sheetId="10" r:id="rId10"/>
    <sheet name="7610 - Const. de paz " sheetId="11" r:id="rId11"/>
    <sheet name="7879 - Cultura ciud. " sheetId="12" r:id="rId12"/>
    <sheet name="7646 Fort. a la gestion" sheetId="13" r:id="rId13"/>
    <sheet name="FUENTES " sheetId="14" r:id="rId14"/>
    <sheet name="Hoja1" sheetId="15" state="hidden" r:id="rId15"/>
    <sheet name="reporte p.t" sheetId="16" state="hidden" r:id="rId16"/>
  </sheets>
  <externalReferences>
    <externalReference r:id="rId19"/>
  </externalReferences>
  <definedNames>
    <definedName name="_xlnm.Print_Area" localSheetId="10">'7610 - Const. de paz '!$A$1:$G$27</definedName>
    <definedName name="_xlnm.Print_Area" localSheetId="12">'7646 Fort. a la gestion'!$A$1:$G$35</definedName>
    <definedName name="_xlnm.Print_Area" localSheetId="4">'7648 - Territorial '!$A$1:$G$30</definedName>
    <definedName name="_xlnm.Print_Area" localSheetId="5">'7650 - Fomento'!$A$1:$G$39</definedName>
    <definedName name="_xlnm.Print_Area" localSheetId="6">'7654 - Infraestructura'!$A$1:$G$34</definedName>
    <definedName name="_xlnm.Print_Area" localSheetId="2">'7656 - Internacionalización '!$A$1:$G$27</definedName>
    <definedName name="_xlnm.Print_Area" localSheetId="11">'7879 - Cultura ciud. '!$A$1:$G$27</definedName>
    <definedName name="_xlnm.Print_Area" localSheetId="1">'7880 - Lecturas'!$A$1:$G$31</definedName>
    <definedName name="_xlnm.Print_Area" localSheetId="8">'7881 - Des. social'!$A$1:$G$31</definedName>
    <definedName name="_xlnm.Print_Area" localSheetId="3">'7884 - Formación'!$A$1:$G$33</definedName>
    <definedName name="_xlnm.Print_Area" localSheetId="0">'7885 - BEPS'!$A$1:$G$28</definedName>
    <definedName name="_xlnm.Print_Area" localSheetId="7">'7886 - Patrimonio'!$A$1:$G$27</definedName>
    <definedName name="_xlnm.Print_Area" localSheetId="9">'7887 - Esp. Público '!$A$1:$G$25</definedName>
    <definedName name="_xlnm.Print_Area" localSheetId="13">'FUENTES '!$A$1:$M$22</definedName>
    <definedName name="Excel_BuiltIn_Print_Area" localSheetId="10">'7610 - Const. de paz '!$A$1:$G$43</definedName>
    <definedName name="Excel_BuiltIn_Print_Area" localSheetId="4">'7648 - Territorial '!$A$2:$G$29</definedName>
    <definedName name="Excel_BuiltIn_Print_Area" localSheetId="5">'7650 - Fomento'!$A$1:$G$85</definedName>
    <definedName name="Excel_BuiltIn_Print_Area" localSheetId="6">'7654 - Infraestructura'!$A$1:$G$44</definedName>
    <definedName name="Excel_BuiltIn_Print_Area" localSheetId="2">'7656 - Internacionalización '!$A$1:$G$18</definedName>
    <definedName name="Excel_BuiltIn_Print_Area" localSheetId="11">'7887 - Esp. Público '!$A$1:$G$30</definedName>
    <definedName name="Excel_BuiltIn_Print_Area" localSheetId="1">'7880 - Lecturas'!$A$1:$G$34</definedName>
    <definedName name="Excel_BuiltIn_Print_Area" localSheetId="8">'7881 - Des. social'!$A$1:$G$46</definedName>
    <definedName name="Excel_BuiltIn_Print_Area" localSheetId="3">'7884 - Formación'!$A$1:$G$45</definedName>
    <definedName name="Excel_BuiltIn_Print_Area" localSheetId="0">'7885 - BEPS'!$A$1:$G$31</definedName>
    <definedName name="Excel_BuiltIn_Print_Area" localSheetId="7">'7886 - Patrimonio'!$A$1:$G$51</definedName>
    <definedName name="Excel_BuiltIn_Print_Area" localSheetId="9">NA()</definedName>
    <definedName name="Excel_BuiltIn_Print_Titles" localSheetId="5">'7650 - Fomento'!$A$45:$AS$45</definedName>
    <definedName name="Excel_BuiltIn_Print_Titles" localSheetId="2">'7884 - Formación'!$A$30:$EF$30</definedName>
    <definedName name="Excel_BuiltIn_Print_Titles" localSheetId="11">'7887 - Esp. Público '!$A$15:$DJ$15</definedName>
    <definedName name="_xlnm.Print_Titles" localSheetId="5">'7650 - Fomento'!$21:$21</definedName>
    <definedName name="_xlnm.Print_Titles" localSheetId="2">'7656 - Internacionalización '!$17:$17</definedName>
    <definedName name="_xlnm.Print_Titles" localSheetId="11">'7879 - Cultura ciud. '!$16:$16</definedName>
    <definedName name="_xlnm.Print_Titles" localSheetId="7">'7886 - Patrimonio'!$16:$16</definedName>
  </definedNames>
  <calcPr fullCalcOnLoad="1"/>
</workbook>
</file>

<file path=xl/sharedStrings.xml><?xml version="1.0" encoding="utf-8"?>
<sst xmlns="http://schemas.openxmlformats.org/spreadsheetml/2006/main" count="1138" uniqueCount="350">
  <si>
    <t>CÓDIGO :</t>
  </si>
  <si>
    <t>FR-01-PR-POL-06</t>
  </si>
  <si>
    <t>VERSIÓN:</t>
  </si>
  <si>
    <t>FECHA:</t>
  </si>
  <si>
    <t>PLAN DE DESARROLLO :</t>
  </si>
  <si>
    <t xml:space="preserve">PROGRAMA </t>
  </si>
  <si>
    <t>CÓDIGO DEL PROYECTO :</t>
  </si>
  <si>
    <t>NOMBRE DEL PROYECTO:</t>
  </si>
  <si>
    <t>OBJETIVO GENERAL :</t>
  </si>
  <si>
    <t>OBJETIVOS ESPECÍFICOS :</t>
  </si>
  <si>
    <t>Valor ($)</t>
  </si>
  <si>
    <t>TOTAL</t>
  </si>
  <si>
    <t>Meta de Producto PDD</t>
  </si>
  <si>
    <t>Meta del proyecto</t>
  </si>
  <si>
    <t xml:space="preserve">Componente </t>
  </si>
  <si>
    <t>03- Recurso humano</t>
  </si>
  <si>
    <t>01- Adquisición y/o producción de equipos, materiales suministros y servicios propios del sector</t>
  </si>
  <si>
    <t>02- Dotación</t>
  </si>
  <si>
    <t>0756 Contratación De Logística Para Eventos</t>
  </si>
  <si>
    <t>04- Gasto de personal operativo</t>
  </si>
  <si>
    <t>0098 Contratación de personal para el apoyo a la gestión</t>
  </si>
  <si>
    <t>Total Meta</t>
  </si>
  <si>
    <t xml:space="preserve">01- Divulgación, Asistencia Técnica y Capacitación de la Población </t>
  </si>
  <si>
    <t>0066 Fomento, apoyo y divulgación de eventos y expresiones artísticas, culturales y del patrimonio</t>
  </si>
  <si>
    <t>0054 Convocatorias y estímulos a las expresiones artísticas y culturales y del patrimonio.</t>
  </si>
  <si>
    <t xml:space="preserve">04- Investigación y Estudios </t>
  </si>
  <si>
    <t>01- Investigación Básica Aplicada y Estudios Propios del Sector</t>
  </si>
  <si>
    <t>TOTAL PROYECTO</t>
  </si>
  <si>
    <t xml:space="preserve"> </t>
  </si>
  <si>
    <t>RESPONSABLE DEL PROYECTO</t>
  </si>
  <si>
    <t>Actualización:</t>
  </si>
  <si>
    <t>Cargo :</t>
  </si>
  <si>
    <t xml:space="preserve">Fecha: </t>
  </si>
  <si>
    <t>Nombre :</t>
  </si>
  <si>
    <t>01- Infraestructura</t>
  </si>
  <si>
    <t>03- Mejoramiento y mantenimiento de infraestructura propia del sector</t>
  </si>
  <si>
    <t>0095 Mantenimiento de la Infraestructura del Sector</t>
  </si>
  <si>
    <t>01- Construcción, adecuación y ampliación de infraestructura propia del sector</t>
  </si>
  <si>
    <t>05- Administración Institucional</t>
  </si>
  <si>
    <t>02- Administración, Control y  Organización Institucional para Apoyo a la Gestión del Distrito</t>
  </si>
  <si>
    <t>0059 Actividades de promoción y mantenimiento del Sistema Integrado de Gestión de la SCRD</t>
  </si>
  <si>
    <t>0017 Divulgación y promoción de la política del sector de la cultura</t>
  </si>
  <si>
    <t>03- Adquisición de equipos, materiales, suministros y servicios administrativos</t>
  </si>
  <si>
    <t>0011- Equipos, materiales, suministros y servicios para el proceso de gestión</t>
  </si>
  <si>
    <t xml:space="preserve">01- Adquisición y/o producción de equipos, materiales suministros y servicios propios del sector </t>
  </si>
  <si>
    <t>0734 Adquisición de hardware y/o software</t>
  </si>
  <si>
    <t>02- Proteccion Y Bienestar Social De La Poblacion</t>
  </si>
  <si>
    <t>0049 Apoyo y asistencia técnica para los procesos de movilización y organización para la participación</t>
  </si>
  <si>
    <t xml:space="preserve">0032 Atencion a victimas </t>
  </si>
  <si>
    <t>01- Recursos del Distrito</t>
  </si>
  <si>
    <t xml:space="preserve">RECURSO HUMANO </t>
  </si>
  <si>
    <t xml:space="preserve">Operación </t>
  </si>
  <si>
    <t xml:space="preserve">Recursos  en millones </t>
  </si>
  <si>
    <t>P.Temporal</t>
  </si>
  <si>
    <t>%</t>
  </si>
  <si>
    <t xml:space="preserve">Contratista </t>
  </si>
  <si>
    <t xml:space="preserve">cantidad </t>
  </si>
  <si>
    <t>02-Transferencias
Nación</t>
  </si>
  <si>
    <t>07</t>
  </si>
  <si>
    <t>0107 Construcción de equipamientos</t>
  </si>
  <si>
    <t>05 – Administración institucional</t>
  </si>
  <si>
    <t>02 – administración con trol y organización institucional para apoyo a la gestión del distrito</t>
  </si>
  <si>
    <t>44- Modernización y fortalecimiento de procesos administrativos</t>
  </si>
  <si>
    <t>0356 - Producción, Grabación Y  Emisión De Piezas De Divulgación Para La Sensibilización En Cultura Ciudadana Y De La Legalidad</t>
  </si>
  <si>
    <t>SECRETARÍA DISTRITAL DE CULTURA, RECREACIÓN Y DEPORTE</t>
  </si>
  <si>
    <t>Tipo de gasto</t>
  </si>
  <si>
    <t>Componente de gasto</t>
  </si>
  <si>
    <t>Concepto de gasto</t>
  </si>
  <si>
    <t>Valor</t>
  </si>
  <si>
    <t>0510 Otros gastos en construcción de infraestructura propia del sector</t>
  </si>
  <si>
    <t>0073 Dotación de la infraestructura artística y cultural</t>
  </si>
  <si>
    <t xml:space="preserve">0248- Adquisición de materiales y suministros para los proyectos de la entidad </t>
  </si>
  <si>
    <t>01-Adquisición y/o producción de equipos materiales, suministros y servicios propios del sector</t>
  </si>
  <si>
    <t>0829 Adquisición de equipos, materiales y suministros</t>
  </si>
  <si>
    <t>06- Gastos Operativos</t>
  </si>
  <si>
    <t>0001- Alquiler de maquinaria, equipos de oficina y de comunicaciones</t>
  </si>
  <si>
    <t>0002 Arrendamiento de inmuebles</t>
  </si>
  <si>
    <t>0004 Otros gastos operativos</t>
  </si>
  <si>
    <t>0263 Servicios de transporte y mensajería para la ejecución de los proyectos de la entidad.</t>
  </si>
  <si>
    <t>0070 Oferta cultural y artística</t>
  </si>
  <si>
    <t>0358 Convocatorias y estímulos a las buenas practicas deportivas, recreativas, de actividad física y parques, escenarios y entornos.</t>
  </si>
  <si>
    <t>0343 Fomento, apoyo y divulgación las buenas practicas deportivas, recreativas, de actividad física y parques, escenarios y entornos.</t>
  </si>
  <si>
    <t>0355 Fomento, apoyo y divulgación para los agentes del sector</t>
  </si>
  <si>
    <t>0111 Contratación de personal para el apoyo administrativo soporte técnico y coordinación del sistema de información.</t>
  </si>
  <si>
    <t>0312 Personal contratado para apoyar las actividades propias de los proyectos de inversión misionales de la entidad</t>
  </si>
  <si>
    <t>0009 Investigaciones y estudios en el área de la cultura</t>
  </si>
  <si>
    <t>0047 Estudios orientados a la recreación y el deporte</t>
  </si>
  <si>
    <t>0158 Equipos, materiales, suministros y servicios para la realización de investigaciones, encuestas, mediciones, sondeos y estudios</t>
  </si>
  <si>
    <t>04-Investigación y estudios</t>
  </si>
  <si>
    <t>01-Investigación Básica Aplicada y Estudios propios del sector</t>
  </si>
  <si>
    <t>0188-Estudios y análisis de información del sector</t>
  </si>
  <si>
    <t>03- Levantamiento y/o actualización de información</t>
  </si>
  <si>
    <t>0025 Personal Contratado para apoyar las actividades del Observatorio de Culturas</t>
  </si>
  <si>
    <t>01- Asistencia técnica divulgación capacitación de funcionarios del distrito para apoyo a la administración distrital</t>
  </si>
  <si>
    <t>0004 Actividades de capacitación institucional a funcionarios Administrativos</t>
  </si>
  <si>
    <t>0163 Pago de matrículas, inscripciones, tasas, licencias y otros derechos conexos con la realización de actividades misionales de la entidad</t>
  </si>
  <si>
    <t>CONCEPTOS DE GASTO UTILIZADOS EN LA VIGENCIA 2018</t>
  </si>
  <si>
    <t xml:space="preserve">PROPOSITO </t>
  </si>
  <si>
    <t>PROGRAMA ESTRATEGICO:</t>
  </si>
  <si>
    <t>01 Subsidios y transferencias para la equidad</t>
  </si>
  <si>
    <t>02 Mejores ingresos de los hogares y combatir la feminización de la pobreza</t>
  </si>
  <si>
    <t>Aportes para los creadores y gestores culturales de Bogotá</t>
  </si>
  <si>
    <t>Entregar el 100% de los recursos previstos para Beneficios Económicos Periódicos (BEPS)</t>
  </si>
  <si>
    <t>Entregar el 100% de los recursos previstos para Beneficios Económico Periódicos (BEPS)</t>
  </si>
  <si>
    <t>Beneficio Económico Periódico-BEPS</t>
  </si>
  <si>
    <t>Generar condiciones de acceso de los creadores y gestores culturales a los Beneficios Económicos y Periódicos - BEPS</t>
  </si>
  <si>
    <t>1. Realizar las gestiones para posibilitar el acceso de creadores y gestores culturales al Beneficio Económico Periódico-BEPS</t>
  </si>
  <si>
    <t>Liliana Mercedes González Jinete</t>
  </si>
  <si>
    <t xml:space="preserve"> Directora de Arte Cultura y Patrimonio </t>
  </si>
  <si>
    <t>Fortalecimiento de la inclusión a la Cultura Escrita de todos los habitantes de Bogotá</t>
  </si>
  <si>
    <t xml:space="preserve">Un Nuevo Contrato Social y Ambiental para la Bogotá del Siglo XXI </t>
  </si>
  <si>
    <t xml:space="preserve">01 Hacer un nuevo contrato social con igualdad de oportunidades para la inclusión social, productiva y política </t>
  </si>
  <si>
    <t xml:space="preserve"> 01 Hacer un nuevo contrato social con igualdad de oportunidades para la inclusión social, productiva y política </t>
  </si>
  <si>
    <t xml:space="preserve"> 15 Plan Distrital de Lectura, Escritura y oralidad: Leer para la vida</t>
  </si>
  <si>
    <t>01 Oportunidades de educación, salud y cultura para mujeres, jóvenes, niños, niñas y adolescentes</t>
  </si>
  <si>
    <t>Aumentar el porcentaje de habitantes de la ciudad que están incluidos en la cultura escrita con especial énfasis en las poblaciones con alguna condición de vulnerabilidad y, con ello, constribuir a la garantía de su derecho a una vida plena.</t>
  </si>
  <si>
    <t>1. Ofrecer de manera equitativa oportunidades de acceso a la cultura escrita a todos los habitantes de Bogotá. 
2. Generar mecanismos de articulación a largo plazo de iniciativas públicas, comunitarias, de la sociedad civil y privadas que promuevan la apropiación de la cultura escrita. 
3. Promover la trasnformación y enriquecer los imaginarios de los habitantes de Bogotá en torno a la lectura y la escritura y con ello promover su valor social.</t>
  </si>
  <si>
    <t>María Consuelo Gaitan Gaitan</t>
  </si>
  <si>
    <t>Creación de un (1) Sistema Distrital de bibliotecas y espacios no convencionales de lectura que fortalezca y articules las bibliotecas públicas, escolares, comunitarias, universitarias, especializada, y otros espacios de circulación del libro en la ciudad</t>
  </si>
  <si>
    <t>Formular 1 política distrital de lectura, escritura y bibliotecas y otros espacios de circulación del libro</t>
  </si>
  <si>
    <t>Sistema Distrital de bibliotecas y espacios no convencionales</t>
  </si>
  <si>
    <t>Política distrital de lectura, escritura y bibliotecas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</si>
  <si>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</si>
  <si>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Valoración social del libro</t>
  </si>
  <si>
    <t xml:space="preserve"> Generación de una Estrategia de Internacionalización del Sector Cultura, Recreación y Deporte para la ciudad de Bogotá</t>
  </si>
  <si>
    <t>Generar una estrategia sectorial de relacionamiento y cooperación internacional que permita articular las acciones de las diferentes entidades para fortalecer la gestión colectiva del conocimiento, movilizar recursos financieros, técnicos y humanos y contribuir al posicionamiento cultural, artístico, patrimonial y deportivo de la ciudad.</t>
  </si>
  <si>
    <t xml:space="preserve">1. Elaborar un documento de lineamientos técnicos sectoriales para el relacionamiento y la cooperación internacional. 
2. Diseñar e implementar una plataforma de información sectorial que permita la sistematización de buenas prácticas y experiencias significativas y la gestión de proyectos de cooperación internacional para la movilización de recursos humanos, técnicos y financieros.
3. Fortalecer las competencias y habilidades de los artistas, mediadores, agentes y gestores para promover y circular sus iniciativas a nivel internacional.
</t>
  </si>
  <si>
    <t>Plataforma de información</t>
  </si>
  <si>
    <t>Generar 1 estrategia de internacionalización que promueva el posicionamiento de Bogotá como referente en temas culturales y deportivos y que permita la movilización dinámica de recursos técnicos, humanos y financieros</t>
  </si>
  <si>
    <t>Elaborar 1 documento técnico sobre el relacionamiento internacional del sector para gestionar cooperación técnica y financiera al interior del sector.</t>
  </si>
  <si>
    <t>Documento de relacionamiento internacional</t>
  </si>
  <si>
    <t xml:space="preserve">Maria del Pilar Ordoñez </t>
  </si>
  <si>
    <t xml:space="preserve">Formación y cualificación para agentes culturales y ciudadanía en Bogotá
</t>
  </si>
  <si>
    <t>Construir procesos de formación para la cualificación de los agentes del sector a través de arte, la cultura y el patrimonio para la generación de capacidades ciudadanas y la transformación de entornos sociales y comunitarios</t>
  </si>
  <si>
    <t xml:space="preserve">1. Construir procesos de formación presencial y/o virtual dirigidos a la cualificación de la ciudadanía y agentes del sector que permitan desde el arte, la cultura y el patrimonio el desarrollo de capacidades para la creatividad, la diversidad y la sensibilidad. 
2. Implementar procesos para profesionalización de los agentes del sector que contribuyan al mejoramiento de sus capacidades y competencias y al fortalecimiento del sector.
3. Fortalecer el Sistema de Información de los procesos de arte, cultura y patrimonio de la ciudad que permitan la generación de conocimiento, la medición de impacto y mejorar la toma de decisiones del sector.
</t>
  </si>
  <si>
    <t>Beneficiar 215 agentes del sector a través del fomento para el acceso a la oferta cultural.</t>
  </si>
  <si>
    <t>Profesionalización de agentes</t>
  </si>
  <si>
    <t>Beneficiar 4.500 personas en procesos de educación informal del sector artístico y cultural</t>
  </si>
  <si>
    <t>Cualificacion de agentes</t>
  </si>
  <si>
    <t>Construcción de 1 Sistema de Información de arte, cultura y patrimonio.</t>
  </si>
  <si>
    <t>Sistema de información de arte, cultura y patrimonio</t>
  </si>
  <si>
    <t xml:space="preserve">Fortalecimiento estratégico de la gestión cultural territorial, poblacional y de la participación incidente en Bogotá
</t>
  </si>
  <si>
    <t>Desarrollar 20 estrategias  de reconocimiento y dinamización del componente cultural en los territorios de Bogotá</t>
  </si>
  <si>
    <t>Reconocimiento y dinamización cultural en los territorios</t>
  </si>
  <si>
    <t>Desarrollar 26  estrategias para el  fortalecimiento y cualificación del Sistema Distrital de Arte, Cultura y Patrimonio, los procesos de participación y la gestión territorial.</t>
  </si>
  <si>
    <t>Procesos de participación y gestión territorial.</t>
  </si>
  <si>
    <t>Concertar e implementar 23  procesos para el fortalecimiento, reconocimiento,  valoración  y la pervivencia cultural de los grupos étnicos, etários y sectores sociales</t>
  </si>
  <si>
    <t>Fortalecimiento grupos etários y sectores sociales</t>
  </si>
  <si>
    <t>21 Creación y vida cotidiana: Apropiación ciudadana del arte, la cultura y el patrimonio, para la democracia cultural</t>
  </si>
  <si>
    <t>1. Aumentar el reconocimiento de las dinámicas y necesidades particulares de los territorios y las poblaciones en los procesos de planeación e implementación de planes, programas o proyectos del componente cultural en la administración. 
2. Desarrollar estrategias que permitan avanzar en la cualificación y fortalecimiento del Sistema Distrital de Arte, Cultura y Patrimonio para incidir en los procesos de planeación e implementación de política, planes, programas y proyectos del componente cultural.
3. Concertar e implementar procesos para el fortalecimiento, reconocimiento y valoración de los derechos culturales, el reconocimiento y la pervivencia con los grupos étnicos, etarios y sectores sociales.</t>
  </si>
  <si>
    <t xml:space="preserve">Fortalecimiento de los procesos de fomento cultural para la gestión incluyente en Cultura para la vida cotidiana en Bogotá D.C.
</t>
  </si>
  <si>
    <t>Entregar 923 estímulos (800), apoyos concertados (120) y alianzas estratégicas (3) dirigidos a fortalecer los procesos de los agentes del sector</t>
  </si>
  <si>
    <t>Estímulos, apoyos y alianzas</t>
  </si>
  <si>
    <t>Realizar 8 documentos de lineamientos técnicos que aporten a la consolidación de la estrategia de gestión del conocimiento</t>
  </si>
  <si>
    <t>Lineamientos de gestión del conocimiento</t>
  </si>
  <si>
    <t xml:space="preserve">Incrementar las acciones para la cobertura contextualizada, equitativa e integral de los programas de fomento orientados al fortalecimiento de los agentes culturales y la apropiación ciudadana de los procesos culturales, artísticos y patrimoniales de la ciudad.
</t>
  </si>
  <si>
    <t xml:space="preserve">1. Diseñar e implementar una estrategia de gestión de conocimiento que contextualice e incremente la pertinencia de la toma de decisiones. 
2. Diseñar e implementar una estrategia que permita fortalecer la capacidad institucional para diseñar y promover estrategias que articulen los recursos existentes y potencialicen las apuestas de la política pública de fomento. 
3. Diseñar e implementar una estrategia de dinamización de los agentes culturales, a través de PDE, PDAC, PDAE y PFAS. 
4. Diseñar y ejecutar una estrategia de apropiación social, con énfasis territorial y poblacional, que permita mejorar el acceso equitativo a los bienes y valores culturales de la ciudad y el posicionamiento de los programas de Fomento.
</t>
  </si>
  <si>
    <t xml:space="preserve">Mejoramiento de la infraestructura cultural en la ciudad de Bogotá
</t>
  </si>
  <si>
    <t>1. Fortalecer la formulación de proyectos de infraestructura cultural para la ciudad de Bogotá 
2. Mejorar la infraestructura cultural para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</si>
  <si>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</si>
  <si>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Documentos de lineamientos técnicos</t>
  </si>
  <si>
    <t>Asistir técnicamente 10 Proyectos de infraestructura cultural</t>
  </si>
  <si>
    <t>Asistencia técnica de proyectos</t>
  </si>
  <si>
    <t>Iván Darío Quiñones Sánchez</t>
  </si>
  <si>
    <t xml:space="preserve">Reconocimiento y valoración del patrimonio material e inmaterial de Bogotá
</t>
  </si>
  <si>
    <t>Fortalecer el conocimiento del patrimonio material e inmaterial de Bogotá por parte de la ciudadanía.</t>
  </si>
  <si>
    <t>1. Consolidar y actualizar la información de patrimonio cultural
2. Fortalecer la divulgación del patrimonio cultural considerando las dinámicas locales y los contextos comunitarios y poblacionales
3. Facilitar la aplicación de las normas de Patrimonio Cultural</t>
  </si>
  <si>
    <t>Realizar 350 visitas para el seguimiento a las gestiones sobre la protección del patrimonio cultural de la ciudad.</t>
  </si>
  <si>
    <t>Asistencia técnica</t>
  </si>
  <si>
    <t xml:space="preserve"> 24 Bogotá región emprendedora e innovadora</t>
  </si>
  <si>
    <t>Generación de desarrollo social y económico sostenible a través de actividades culturales y creativas en Bogotá</t>
  </si>
  <si>
    <t xml:space="preserve">Generar desarrollo social y económico sostenible, a través de las actividades culturales y creativas en Bogotá.
</t>
  </si>
  <si>
    <t xml:space="preserve">1. Diseñar e implementar estrategias que permitan crear, fortalecer y/o consolidar tanto Distritos Creativos como otros espacios adecuados para el desarrollo de actividades culturales y creativas, reconociendo las particulariedades sociales, culturales y económicas dentro de los territorios. 
2. Diseñar y promover programas que fortalezcan la cadena de valor de las actividades del sector cultural y creativo.
3. Implementar y fortalecer los procesos de gestión del conocimiento del sector cultural y creativo que orienten la toma de decisiones.
</t>
  </si>
  <si>
    <t>María del Pilar Ordoñez</t>
  </si>
  <si>
    <t xml:space="preserve">Susbecretaría de Gobernanza </t>
  </si>
  <si>
    <t>Implementación de una estrategia de arte en espacio publico en Bogotá</t>
  </si>
  <si>
    <t>24 Bogotá región emprendedora e innovadora</t>
  </si>
  <si>
    <t>Propiciar e integrar acciones artísticas y culturales tendientes a la apropiación, uso y disfrute del espacio público, capaces de construir comunidad y transformar entornos sociales y culturales</t>
  </si>
  <si>
    <t>1. Implementar una estrategia para atender a los artistas en el marco de la regulación de actividades artísticas en el espacio público. 
2. Promover intervenciones artísticas, culturales y patrimoniales, construidas colectivamente con la ciudadanía que mejoren la valoración del espacio público</t>
  </si>
  <si>
    <t>Estrategia para artistas en espacio publico</t>
  </si>
  <si>
    <t>Desarrollar diez (10) actividades de impacto artístico, cultural y patrimonial en Bogotá y la Región</t>
  </si>
  <si>
    <t>Actividades de arte urbano responsable</t>
  </si>
  <si>
    <t>Adelantar 10 procesos de concertación y articulación interinstitucional con comunidades y líderes para promover el ejercicio de los derechos culturales en territorios.</t>
  </si>
  <si>
    <t>Derechos culturales en territorios.</t>
  </si>
  <si>
    <t>Transformación social y cultural de entornos y territorios para la construcción de paz en Bogotá</t>
  </si>
  <si>
    <t xml:space="preserve"> 03 Inspirar confianza y legitimidad para vivir sin miedo y ser epicentro de cultura ciudadana, paz y reconciliación</t>
  </si>
  <si>
    <t>Transformar espacios identificados como entornos conflictivos desde la mirada social y cultural.</t>
  </si>
  <si>
    <t>Realizar 200 encuentros culturales que promuevan la convivencia pacífica, digna y sostenible en el tiempo, de habitantes de los asentamientos humanos considerados espacios conflictivos y las comunidades vecinas</t>
  </si>
  <si>
    <t>Encuentros culturales</t>
  </si>
  <si>
    <t>Creación de 1 centro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</si>
  <si>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Institucionalidad de la cultura ciudadana</t>
  </si>
  <si>
    <t>Diseñar y acompañar la implementación de 13 estrategias de cultura ciudadana en torno a los temas priorizados por la administración Distrital</t>
  </si>
  <si>
    <t>Estrategias de cultura ciudadana</t>
  </si>
  <si>
    <t>Implementar 1 sistema de gestión de la información para el levantamiento y monitoreo de las estrategias de cambio cultural</t>
  </si>
  <si>
    <t>Sistema de gestión cambio cultural</t>
  </si>
  <si>
    <t xml:space="preserve">05 Construir Bogotá Región con gobierno abierto, transparente y ciudadanía consciente </t>
  </si>
  <si>
    <t xml:space="preserve"> 55 Fortalecimiento de Cultura Ciudadana y su institucionalidad</t>
  </si>
  <si>
    <t>Fortalecimiento de la Cultura Ciudadana y su Institucionalidad en Bogotá</t>
  </si>
  <si>
    <t xml:space="preserve">Henry Samuel Murrain K. </t>
  </si>
  <si>
    <t>Diseñar e implementar una (1) estrategia para reconocer y crear fortalecer, consolidar y/o posicionar Distritos Creativos, así como espacios adecuados para el desarrollo de actividades culturales y creativa</t>
  </si>
  <si>
    <t>Fortalecimiento distritos creativos</t>
  </si>
  <si>
    <t>Diseñar y promover Un (1) programa para el fortalecimiento de la cadena de valor de la economía cultural y creativa.</t>
  </si>
  <si>
    <t>Cadena de valor economía cultural y creativa</t>
  </si>
  <si>
    <t>Implementar y fortalecer una (1) estrategia de economía cultural y creativa para orientar la toma de decisiones que permita mitigar y reactivar el sector cultura</t>
  </si>
  <si>
    <t>Estrategia para mitigación y reactivación del sector cultura</t>
  </si>
  <si>
    <t>Fortalecimiento a la gestión, la innovación tecnológica y la comunicación pública de la Secretaría de Cultura, Recreación y Deporte de Bogotá</t>
  </si>
  <si>
    <t>Fortalecer los recursos humanos, tecnológicos, administrativos, financieros, operativos y metodológicos para la gestión institucional eficiente y para el apoyo en el cumplimiento de las funciones de la Secretaría de Cultura, Recreación y Deporte como orientadora y articuladora de los procesos, planeación, gestión del conocimiento y comunicación pública del sector.</t>
  </si>
  <si>
    <t xml:space="preserve">1. Actualizar las herramientas tecnológicas y construir e implementar una estrategia institucional y sectorial que articule arte, ciencia y tecnología permitiendo el desarrollo de la gestión administrativa y misional mediante la apropiación de las TIC. 
2. Mantener en buen estado los bienes muebles e inmuebles a cargo de la entidad y atender de manera oportuna y eficaz los requerimientos internos y externos de suministro y /o adecuación de espacios, equipos y elementos necesarios para el desarrollo de las diferentes actividades de la entidad lo anterior ajustado a las dinámicas y realidades. 
3. Atender de manera oportuna y eficaz los requerimientos que se presentan a nivel interno y externo, con el suministro del personal suficiente e idóneo y un clima laboral adecuado.
4. Realizar el proceso de administración, conservación y preservación de la documentación e información de la entidad a través de la herramienta tecnológica y archivo físico. 
5. Implementar las acciones programadas para articular y fortalecer las dinámicas de planeación, gestión institucional y del conocimiento, asociadas a la ejecución, seguimiento, medición y evaluación de las políticas, los programas, proyectos y presupuestos del sector. 
6. Fortalecer el relacionamiento e impacto de las comunicaciones entre la ciudadanía y la institucionalidad que le aporten a la incidencia de las agendas culturales en la ciudad.
</t>
  </si>
  <si>
    <t xml:space="preserve"> 05 Construir Bogotá Región con gobierno abierto, transparente y ciudadanía consciente </t>
  </si>
  <si>
    <t xml:space="preserve">56 Gestión Pública Efectiva </t>
  </si>
  <si>
    <t>Actualizar el 70% de las herramientas tecnológicas.</t>
  </si>
  <si>
    <t>Herramientas tecnológicas</t>
  </si>
  <si>
    <t>Construir e implementar 1 estrategia institucional y sectorial que articule arte ciencia y tecnología permitiendo el desarrollo de la gestión administrativa y misional mediante la apropiación de las TIC.</t>
  </si>
  <si>
    <t>Implementación TIC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</si>
  <si>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</si>
  <si>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Planeación, gestión institucional y del conocimiento</t>
  </si>
  <si>
    <t>Plan fortalecimiento institucional</t>
  </si>
  <si>
    <t>Implementar 1 sistema de gestión documental de conformidad con la normatividad vigente.</t>
  </si>
  <si>
    <t>Sistema de gestión documental</t>
  </si>
  <si>
    <t>Mantener 5 sedes (3 sedes, almacén y bodega) en buen estado y atender los requerimientos internos y externos referentes a los mismos.</t>
  </si>
  <si>
    <t>Mantenimiento de sedes</t>
  </si>
  <si>
    <t>Realizar 1 plan de acción de formación, fortalecimiento, eventos territoriales, actividades comunitarias, campañas y estrategias de comunicación.</t>
  </si>
  <si>
    <t>Comunicación pública</t>
  </si>
  <si>
    <t>Elaborar 1 plan de atención de requerimientos para fortalecer la gestión y el clima laboral</t>
  </si>
  <si>
    <t>7885 Aportes para los creadores y gestores culturales de Bogotá</t>
  </si>
  <si>
    <t>7880 Fortalecimiento de la inclusión a la Cultura Escrita de todos los habitantes de Bogotá</t>
  </si>
  <si>
    <t>7656 Generación de una Estrategia de Internacionalización del Sector Cultura, Recreación y Deporte para  la ciudad de Bogotá</t>
  </si>
  <si>
    <t>7884 Formación y cualificación para agentes culturales y ciudadanía en Bogotá</t>
  </si>
  <si>
    <t>7648 Fortalecimiento estratégico de la gestión cultural territorial, poblacional y de la participación incidente en Bogotá</t>
  </si>
  <si>
    <t>7650 Fortalecimiento de los procesos de fomento cultural para la gestión incluyente en Cultura para la vida cotidiana en Bogotá D.C.</t>
  </si>
  <si>
    <t>7654 Mejoramiento de la infraestructura cultural en la ciudad de Bogotá</t>
  </si>
  <si>
    <t>7886 Reconocimiento y valoración del patrimonio material e inmaterial de Bogotá</t>
  </si>
  <si>
    <t>7881 Generación de desarrollo social y económico sostenible a través de actividades culturales y creativas en Bogotá</t>
  </si>
  <si>
    <t>7887 Implementación de una estrategia de arte en espacio publico en Bogotá</t>
  </si>
  <si>
    <t>7610 Transformación social y cultural de entornos y territorios para la construcción de paz en Bogotá.</t>
  </si>
  <si>
    <t>7879 Fortalecimiento de la Cultura Ciudadana y su Institucionalidad en Bogotá</t>
  </si>
  <si>
    <t>7646 Fortalecimiento a la gestión, la innovación tecnológica y la comunicación pública de la Secretaría de  Cultura, Recreación y Deporte de Bogotá</t>
  </si>
  <si>
    <t>NOMBRE DEL PROYECTO DE INVERSIÓN</t>
  </si>
  <si>
    <t xml:space="preserve">Directora de Lectura y Bibliotecas </t>
  </si>
  <si>
    <t>Subsecretaría de Gobernanza</t>
  </si>
  <si>
    <t xml:space="preserve"> 20 Bogotá, referente en cultura, deporte, recreación y actividad física, con parques para el desarrollo y la salud</t>
  </si>
  <si>
    <t>03 Sistema Distrital de cuidado</t>
  </si>
  <si>
    <t>Cualificación de 4.500 agentes del sector y demás talento humano en el marco de la estrategia de cualificación de mediadores culturales.</t>
  </si>
  <si>
    <t>Desarrollar una (1) estrategia intercultural para fortalecer los diálogos con la ciudadanía en sus múltiples diversidades poblacionales y territoriales.</t>
  </si>
  <si>
    <t>Desarrollar una (1) estrategia para promover y fortalecer la gestión cultural territorial y los espacios de participación ciudadana del sector cultura, y su incidencia en los presupuestos participativos.</t>
  </si>
  <si>
    <t>Desarrollar una estrategia con enfoque diferencial, poblacional y territorial que  fortalezca los procesos de gestión cultural distrital y local, y propicie la participación incidente de la ciudadanía.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</si>
  <si>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</si>
  <si>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Realizar 2 documentos de lineamientos técnicos que aporten a la consolidación de la estrategia de gestión del conocimiento</t>
  </si>
  <si>
    <t>Fortalecer 10 equipamientos artísticos y culturales en diferentes localidades de la ciudad.</t>
  </si>
  <si>
    <t>Mejorar la infraestructura cultural para responder a las necesidades de los ciudadanos de Bogotá</t>
  </si>
  <si>
    <t xml:space="preserve">04 Reactivación y adaptación económica a través de esquemas de productividad sostenible </t>
  </si>
  <si>
    <t>Diseñar e implementar dos (2) estrategias para reconocer, crear, fortalecer, consolidar y/o posicionar Distritos Creativos, así como espacios adecuados para el desarrollo de actividades culturales y creativas.</t>
  </si>
  <si>
    <t>Implementar una (1) estrategia que permita atender a los artistas del espacio público, que propicie el goce efectivo de los derechos culturales de la ciudadanía</t>
  </si>
  <si>
    <t>Generar una (1)  estrategia para las prácticas culturales, artísticas y patrimoniales en espacios identificados como entornos conflictivos.</t>
  </si>
  <si>
    <t>1. Formular e implementar un modelo de relaciones que promueva el ejercicio de los derechos culturales de las comunidades residentes de estos territorios. 
2. Formular e implementar una estrategia comunitaria que permita la convivencia pacÍfica, digna y sostenible en el tiempo, de  los asentamientos humanos identificados como entornos conflictivos.</t>
  </si>
  <si>
    <t xml:space="preserve">15 Gestión pública efectiva, abierta y transparente </t>
  </si>
  <si>
    <t>1. Generar condiciones institucionales para diseñar y acompañar la implementación de iniciativas de cultura ciudadana y transformación cultural públicas, privadas y comunitarias para la toma de decisiones institucionales que promuevan tranformaciones culturales a partir de mejores comprensiones de las dinámicas sociales y culturales.
2. Diseñar y acompañar la implementación de iniciativas de cultura ciudadana y transformación cultural públicas, privadas y comunitarias en el marco de la Política Pública de Cultura Ciudadana y la implementación de la red de cultura ciudadana y democrática.
3. Implementar mecanismos técnicos, metodológicos y tecnológicos en un sistema integrado de información para la gestión del conocimiento sobre factores culturales que contengan y produzcan información confiable, actualizada y de calidad sobre las principales problemáticas de la ciudada, permita el seguimiento de las acciones sectoriales y oriente la toma de decisiones institucionales y de política pública.</t>
  </si>
  <si>
    <t xml:space="preserve"> 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</si>
  <si>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Diseñar y acompañar la implementación de trece (13) estrategias de cultura ciudadana en torno a los temas priorizados por la administración distrital.</t>
  </si>
  <si>
    <t>Implementar un (1) sistema de gestión de la información para el levantamiento y monitoreo de las estrategias de cambio cultural</t>
  </si>
  <si>
    <t>Yaneth Suarez Acero</t>
  </si>
  <si>
    <t>Directora de Gestión Corporativa</t>
  </si>
  <si>
    <t>Desarrollar y mantener al 100% la capacidad institucional a través de la mejora en la infraestructura física, tecnológica y de gestión en beneficio de la ciudadanía.</t>
  </si>
  <si>
    <t>Realizar el 100% de las acciones para el fortalecimiento de la comunicación pública.</t>
  </si>
  <si>
    <t>Diseñar y gestionar 1 plataforma de información que permita la consulta y sistematización de las experiencias significativas, buenas prácticas y proyectos de cooperación del sector</t>
  </si>
  <si>
    <t xml:space="preserve"> Implementar una (1) estrategia que permita reconocer y difundir manifestaciones de patrimonio cultural material e inmaterial, para generar conocimiento en la ciudadanía.</t>
  </si>
  <si>
    <t>Construir e implementar 0.2 estrategia institucional y sectorial que articule arte ciencia y tecnología permitiendo el desarrollo de la gestión administrativa y misional mediante la apropiación de las TIC.</t>
  </si>
  <si>
    <t>Desarrollar 0.2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</si>
  <si>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Elaborar 0.2 plan de atención de requerimientos para fortalecer la gestión y el clima laboral</t>
  </si>
  <si>
    <t>Implementar 0.2 sistema de gestión documental de conformidad con la normatividad vigente.</t>
  </si>
  <si>
    <t>Mantener 1 sedes (3 sedes, almacén y bodega) en buen estado y atender los requerimientos internos y externos referentes a los mismos.</t>
  </si>
  <si>
    <t>Realizar 0.2 plan de acción de formación, fortalecimiento, eventos territoriales, actividades comunitarias, campañas y estrategias de comunicación.</t>
  </si>
  <si>
    <t>Diseñar y promover tres (3) programa para el fortalecimiento de la cadena de valor de la economía cultural y creativa</t>
  </si>
  <si>
    <t>Diseñar y realizar 1 curso para fortalecer las competencias y la calidad de los conocimientos de agentes del sector.</t>
  </si>
  <si>
    <t>Fortalecimiento de competencias</t>
  </si>
  <si>
    <t>Encuentros Ciudadanos</t>
  </si>
  <si>
    <t>Realizar 45 encuentros ciudadanos (virtuales y presenciales) para promover la apropiación, fortalecimiento del tejido social e involucramiento en los proyectos de infraestructura cultural</t>
  </si>
  <si>
    <t>PLAN DE ACCIÓN 2021</t>
  </si>
  <si>
    <t>Estrategia de identificación y comunicación</t>
  </si>
  <si>
    <t xml:space="preserve">Fondo </t>
  </si>
  <si>
    <t>Meta del proyecto para la vigencia 2021</t>
  </si>
  <si>
    <t>1-100-I011 - VA Estampilla Pro Cultura</t>
  </si>
  <si>
    <t xml:space="preserve">1-100-F001 -  VA Recursos del distrito </t>
  </si>
  <si>
    <t xml:space="preserve">Pos. Presupuestaria </t>
  </si>
  <si>
    <t>1082001052 Servicios para la comunidad, sociales y personales</t>
  </si>
  <si>
    <t>Promover 16 espacios y/o eventos de valoración social del libro, la lectura y la literatura en la ciudad.</t>
  </si>
  <si>
    <t>Promover 4 espacios y/o eventos de valoración social del libro, la lectura y la literatura en la ciudad.</t>
  </si>
  <si>
    <t>Promover 1 espacios y/o eventos de valoración social del libro, la lectura y la literatura en la ciudad</t>
  </si>
  <si>
    <t>Formular 0.5 política distrital de lectura, escritura y bibliotecas y otros espacios de circulación del libro</t>
  </si>
  <si>
    <t xml:space="preserve">2-100-I011 -  VA SGP Propósito general cultura  </t>
  </si>
  <si>
    <t>Diseñar y gestionar 0,2 plataforma de información que permita la consulta y sistematización de las experiencias significativas, buenas prácticas y proyectos de cooperación del sector</t>
  </si>
  <si>
    <t>Elaborar 0.2 documento técnico sobre el relacionamiento internacional del sector para gestionar cooperación técnica y financiera al interior del sector.</t>
  </si>
  <si>
    <t>Diseñar y realizar 0.2 curso para fortalecer las competencias y la calidad de los conocimientos de agentes del sector.</t>
  </si>
  <si>
    <t>Beneficiar 720 personas en procesos de educación informal del sector artístico y cultural</t>
  </si>
  <si>
    <t>Beneficiar 45 agentes del sector a través del fomento para el acceso a la oferta cultural.</t>
  </si>
  <si>
    <t>Construcción de 0.25 Sistema de Información de arte, cultura y patrimonio.</t>
  </si>
  <si>
    <t xml:space="preserve">1-200-I026 - RB Contribución a las artes escénicas </t>
  </si>
  <si>
    <t>FONDO</t>
  </si>
  <si>
    <t>Subdirectora de Gestión Cultural y Artística</t>
  </si>
  <si>
    <t>Angela María Santamaría Delgado</t>
  </si>
  <si>
    <t>FONOO</t>
  </si>
  <si>
    <t>Director de Asuntos Locales y Participación</t>
  </si>
  <si>
    <t xml:space="preserve">Alejandro Franco Plata </t>
  </si>
  <si>
    <t>1-100- I026 - VA Impuesto al Consumo de Telefonía Móvil</t>
  </si>
  <si>
    <t>Entregar 250 estímulos apoyos concertados y alianzas estratégicas dirigidos a fortalecer los procesos de los agentes del sector</t>
  </si>
  <si>
    <t>Directora de Fomento</t>
  </si>
  <si>
    <t>Vanessa Barreneche Samur</t>
  </si>
  <si>
    <t xml:space="preserve">1-400-006 - RF Contribución a las artes escénicas </t>
  </si>
  <si>
    <t>Realizar 1200 contenidos culturales que aporten a la apropiación social de los programas de fomento con énfasis territorial y poblacional</t>
  </si>
  <si>
    <t>Contenidos culturales</t>
  </si>
  <si>
    <t>Expedir 4 actos administrativos en el marco de los Convenios Interadministrativos a realizar, que den cuenta de la implementación de la estrategia de fortalecimiento de capacidad institucional</t>
  </si>
  <si>
    <t>Fortalecimiento de capacidad institucional</t>
  </si>
  <si>
    <t>Realizar 3  procesos de capacitación que aporten en el fortalecimiento de capacidades de los agentes del sector</t>
  </si>
  <si>
    <t>Procesos de capacitación</t>
  </si>
  <si>
    <t>Expedir 1 actos administrativos en el marco de los Convenios Interadministrativos a realizar, que den cuenta de la implementación de la estrategia de fortalecimiento de capacidad institucional</t>
  </si>
  <si>
    <t>Realizar 1  procesos de capacitación que aporten en el fortalecimiento de capacidades de los agentes del sector</t>
  </si>
  <si>
    <t>Realizar 350 contenidos culturales que aporten a la apropiación social de los programas de fomento con énfasis territorial y poblacional</t>
  </si>
  <si>
    <t>Subdirector de Infraestructura Cultural</t>
  </si>
  <si>
    <t xml:space="preserve">1082001010 Servicios de la construcción </t>
  </si>
  <si>
    <t>1-601-I060 - PAS Valorización Acuerdo 724 de 2018</t>
  </si>
  <si>
    <t>1-601-I026 - PAS Contribución a las artes escénicas</t>
  </si>
  <si>
    <t>Diseñar 1 documento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</si>
  <si>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2.5 Proyectos de infraestructura cultural</t>
  </si>
  <si>
    <t>Realizar 15 encuentros ciudadanos (virtuales y presenciales) para promover la apropiación, fortalecimiento del tejido social e involucramiento en los proyectos de infraestructura cultural</t>
  </si>
  <si>
    <t>Subdirector de Infraestructura Cultural y Patrimonio Cultura</t>
  </si>
  <si>
    <t>Desarrollar 20 publicaciones y eventos de divulgación asociados al patrimonio cultural</t>
  </si>
  <si>
    <t>Publicación y divulgación</t>
  </si>
  <si>
    <t>Elaborar 1 documento de investigación con el objetivo de abordar datos cuantitativos del patrimonio cultural construido, a partir de la revisión de los resultados de la revisión de las políticas asociadas en la ciudad</t>
  </si>
  <si>
    <t>Realizar 100  visitas para el seguimiento a las gestiones sobre la protección del patrimonio cultural de la ciudad.</t>
  </si>
  <si>
    <t>Desarrollar 5 publicaciones y eventos de divulgación asociados al patrimonio cultural</t>
  </si>
  <si>
    <t>Elaborar 0.3 documento de investigación con el objetivo de abordar datos cuantitativos del patrimonio cultural construido, a partir de la revisión de los resultados de la revisión de las políticas asociadas en la ciudad</t>
  </si>
  <si>
    <t>Investigación del patrimonio cultural</t>
  </si>
  <si>
    <t xml:space="preserve">FONDO </t>
  </si>
  <si>
    <t>Desarrollar (3) actividades de impacto artístico, cultural y patrimonial en Bogotá y la Región</t>
  </si>
  <si>
    <t>Implementar 0.38 estrategia que permita atender a los artistas del espacio público, que propicie el goce efectivo de los derechos culturales de la ciudadanía</t>
  </si>
  <si>
    <t>Realizar 50 encuentros culturales que promuevan la convivencia pacífica, digna y sostenible en el tiempo, de habitantes de los asentamientos humanos considerados espacios conflictivos y las comunidades vecinas</t>
  </si>
  <si>
    <t>Desarrollar acciones estratégicas sectoriales intersectoriales que apunten a fortalecer factores culturales, sociales y materiales que promuevan el ejercicio pleno de las libertades y derechos por parte de la ciudadanía.</t>
  </si>
  <si>
    <t xml:space="preserve"> Director de Cultura Ciudadana</t>
  </si>
  <si>
    <t>Diseñar y acompañar la implementación de 4 estrategias de cultura ciudadana en torno a los temas priorizados por la administración Distrital</t>
  </si>
  <si>
    <t>UN NUEVO CONTRATO SOCIAL Y AMBIENTAL PARA LA BOGOTÁ DEL SIGLO XXI  – POAI POR FUENTES VIGENCIA 2021</t>
  </si>
  <si>
    <t>2-100-I011 -  VA SGP Propósito general cultura</t>
  </si>
  <si>
    <t>1-400-I023 - RF SGP Propósito general</t>
  </si>
  <si>
    <t xml:space="preserve">1-400-I023 - RF SGP Propósito general </t>
  </si>
  <si>
    <t>20 Bogotá, referente en cultura, deporte, recreación y actividad física, con parques para el desarrollo y la salud</t>
  </si>
  <si>
    <t>Actualizar el 50% de las herramientas tecnológicas.</t>
  </si>
  <si>
    <t xml:space="preserve">1-100-I036 - VA-Convenios </t>
  </si>
  <si>
    <t>TOTAL UNCSAB 2021</t>
  </si>
  <si>
    <t>1-200-I011 - RB Estampilla Pro Cultura</t>
  </si>
  <si>
    <t xml:space="preserve">Es cultura Local </t>
  </si>
  <si>
    <t>Implementar una estrategia para el fortalecimiento de los Constructores Locales y agentes del sector del programa Es Cultura Local.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</si>
</sst>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$-240A]#,##0;[Red]\([$$-240A]#,##0\)"/>
    <numFmt numFmtId="179" formatCode="dd/mm/yy"/>
    <numFmt numFmtId="180" formatCode="#,###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&quot;$ &quot;* #,##0_-;&quot;-$ &quot;* #,##0_-;_-&quot;$ &quot;* \-_-;_-@_-"/>
    <numFmt numFmtId="186" formatCode="_-[$$-240A]\ * #,##0_-;\-[$$-240A]\ * #,##0_-;_-[$$-240A]\ * \-??_-;_-@_-"/>
    <numFmt numFmtId="187" formatCode="_-&quot;$&quot;\ * #,##0_-;\-&quot;$&quot;\ * #,##0_-;_-&quot;$&quot;\ * &quot;-&quot;_-;_-@"/>
    <numFmt numFmtId="188" formatCode="_-[$$-240A]\ * #,##0.00_-;\-[$$-240A]\ * #,##0.00_-;_-[$$-240A]\ * &quot;-&quot;??_-;_-@_-"/>
    <numFmt numFmtId="189" formatCode="_-[$$-240A]\ * #,##0_-;\-[$$-240A]\ * #,##0_-;_-[$$-240A]\ * &quot;-&quot;??_-;_-@_-"/>
    <numFmt numFmtId="190" formatCode="_-[$$-240A]\ * #,##0_-;\-[$$-240A]\ * #,##0_-;_-[$$-240A]\ * &quot;-&quot;??_-;_-@"/>
    <numFmt numFmtId="191" formatCode="_-[$$-240A]\ * #,##0.00_-;\-[$$-240A]\ * #,##0.00_-;_-[$$-240A]\ * &quot;-&quot;??_-;_-@"/>
    <numFmt numFmtId="192" formatCode="[$-240A]dddd\,\ d\ &quot;de&quot;\ mmmm\ &quot;de&quot;\ yyyy"/>
    <numFmt numFmtId="193" formatCode="_-* #,##0.0_-;\-* #,##0.0_-;_-* &quot;-&quot;_-;_-@_-"/>
    <numFmt numFmtId="194" formatCode="_-* #,##0.0_-;\-* #,##0.0_-;_-* &quot;-&quot;??_-;_-@_-"/>
    <numFmt numFmtId="195" formatCode="_-* #,##0_-;\-* #,##0_-;_-* &quot;-&quot;??_-;_-@_-"/>
  </numFmts>
  <fonts count="7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59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.5"/>
      <color indexed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Nimbus Sans L;Arial"/>
      <family val="2"/>
    </font>
    <font>
      <b/>
      <sz val="10.5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0.5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.5"/>
      <color theme="0"/>
      <name val="Calibri"/>
      <family val="2"/>
    </font>
    <font>
      <b/>
      <sz val="10"/>
      <color theme="0"/>
      <name val="Nimbus Sans L;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42C6"/>
        <bgColor indexed="64"/>
      </patternFill>
    </fill>
    <fill>
      <patternFill patternType="solid">
        <fgColor rgb="FF8D42C6"/>
        <bgColor indexed="64"/>
      </patternFill>
    </fill>
    <fill>
      <patternFill patternType="solid">
        <fgColor rgb="FF8D42C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000000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5" fontId="17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ill="0" applyBorder="0" applyAlignment="0" applyProtection="0"/>
    <xf numFmtId="185" fontId="0" fillId="0" borderId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1" fillId="0" borderId="0" applyNumberFormat="0" applyFill="0" applyBorder="0" applyProtection="0">
      <alignment horizontal="left"/>
    </xf>
    <xf numFmtId="0" fontId="66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0" fillId="0" borderId="10" xfId="36" applyFont="1" applyBorder="1" applyAlignment="1">
      <alignment horizontal="justify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3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/>
    </xf>
    <xf numFmtId="3" fontId="14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0" fontId="19" fillId="37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justify" vertical="center"/>
      <protection locked="0"/>
    </xf>
    <xf numFmtId="0" fontId="13" fillId="0" borderId="10" xfId="0" applyFont="1" applyBorder="1" applyAlignment="1" applyProtection="1">
      <alignment horizontal="justify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10" fontId="12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9" fontId="1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/>
    </xf>
    <xf numFmtId="3" fontId="12" fillId="37" borderId="1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/>
      <protection locked="0"/>
    </xf>
    <xf numFmtId="18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1" fillId="38" borderId="10" xfId="0" applyNumberFormat="1" applyFont="1" applyFill="1" applyBorder="1" applyAlignment="1" applyProtection="1">
      <alignment horizontal="right" vertical="center"/>
      <protection locked="0"/>
    </xf>
    <xf numFmtId="41" fontId="67" fillId="38" borderId="0" xfId="55" applyFont="1" applyFill="1" applyAlignment="1">
      <alignment wrapText="1"/>
    </xf>
    <xf numFmtId="0" fontId="10" fillId="0" borderId="12" xfId="36" applyFont="1" applyBorder="1" applyAlignment="1">
      <alignment vertical="center" wrapText="1"/>
    </xf>
    <xf numFmtId="0" fontId="68" fillId="39" borderId="10" xfId="0" applyFont="1" applyFill="1" applyBorder="1" applyAlignment="1">
      <alignment horizontal="center" vertical="center" wrapText="1"/>
    </xf>
    <xf numFmtId="3" fontId="69" fillId="40" borderId="10" xfId="0" applyNumberFormat="1" applyFont="1" applyFill="1" applyBorder="1" applyAlignment="1" applyProtection="1">
      <alignment horizontal="right" vertical="center"/>
      <protection locked="0"/>
    </xf>
    <xf numFmtId="195" fontId="0" fillId="0" borderId="10" xfId="54" applyNumberFormat="1" applyBorder="1" applyAlignment="1">
      <alignment horizontal="justify" vertical="center" wrapText="1"/>
    </xf>
    <xf numFmtId="0" fontId="10" fillId="41" borderId="10" xfId="0" applyFont="1" applyFill="1" applyBorder="1" applyAlignment="1">
      <alignment vertical="center" wrapText="1"/>
    </xf>
    <xf numFmtId="0" fontId="68" fillId="39" borderId="10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195" fontId="0" fillId="0" borderId="14" xfId="0" applyNumberFormat="1" applyBorder="1" applyAlignment="1" applyProtection="1">
      <alignment horizontal="left" vertical="center"/>
      <protection locked="0"/>
    </xf>
    <xf numFmtId="195" fontId="0" fillId="0" borderId="10" xfId="54" applyNumberFormat="1" applyBorder="1" applyAlignment="1">
      <alignment horizontal="right" vertical="center" wrapText="1"/>
    </xf>
    <xf numFmtId="0" fontId="70" fillId="38" borderId="0" xfId="0" applyFont="1" applyFill="1" applyAlignment="1">
      <alignment/>
    </xf>
    <xf numFmtId="0" fontId="20" fillId="0" borderId="15" xfId="0" applyNumberFormat="1" applyFont="1" applyBorder="1" applyAlignment="1">
      <alignment horizontal="left" vertical="top" wrapText="1"/>
    </xf>
    <xf numFmtId="3" fontId="14" fillId="38" borderId="15" xfId="0" applyNumberFormat="1" applyFont="1" applyFill="1" applyBorder="1" applyAlignment="1">
      <alignment vertical="center"/>
    </xf>
    <xf numFmtId="3" fontId="14" fillId="13" borderId="15" xfId="0" applyNumberFormat="1" applyFont="1" applyFill="1" applyBorder="1" applyAlignment="1">
      <alignment vertical="center" wrapText="1"/>
    </xf>
    <xf numFmtId="0" fontId="71" fillId="42" borderId="16" xfId="0" applyFont="1" applyFill="1" applyBorder="1" applyAlignment="1">
      <alignment horizontal="left" vertical="center"/>
    </xf>
    <xf numFmtId="0" fontId="71" fillId="42" borderId="17" xfId="0" applyFont="1" applyFill="1" applyBorder="1" applyAlignment="1">
      <alignment horizontal="left" vertical="center"/>
    </xf>
    <xf numFmtId="0" fontId="71" fillId="42" borderId="18" xfId="0" applyFont="1" applyFill="1" applyBorder="1" applyAlignment="1">
      <alignment horizontal="left" vertical="center"/>
    </xf>
    <xf numFmtId="0" fontId="71" fillId="42" borderId="19" xfId="0" applyFont="1" applyFill="1" applyBorder="1" applyAlignment="1">
      <alignment horizontal="left" vertical="center"/>
    </xf>
    <xf numFmtId="0" fontId="71" fillId="42" borderId="20" xfId="0" applyFont="1" applyFill="1" applyBorder="1" applyAlignment="1">
      <alignment horizontal="left" vertical="center"/>
    </xf>
    <xf numFmtId="0" fontId="71" fillId="42" borderId="21" xfId="0" applyFont="1" applyFill="1" applyBorder="1" applyAlignment="1">
      <alignment horizontal="center" vertical="center"/>
    </xf>
    <xf numFmtId="3" fontId="72" fillId="42" borderId="10" xfId="0" applyNumberFormat="1" applyFont="1" applyFill="1" applyBorder="1" applyAlignment="1" applyProtection="1">
      <alignment horizontal="right" vertical="center"/>
      <protection locked="0"/>
    </xf>
    <xf numFmtId="3" fontId="69" fillId="43" borderId="10" xfId="0" applyNumberFormat="1" applyFont="1" applyFill="1" applyBorder="1" applyAlignment="1" applyProtection="1">
      <alignment horizontal="right" vertical="center"/>
      <protection locked="0"/>
    </xf>
    <xf numFmtId="3" fontId="73" fillId="43" borderId="22" xfId="0" applyNumberFormat="1" applyFont="1" applyFill="1" applyBorder="1" applyAlignment="1">
      <alignment horizontal="right" vertical="center"/>
    </xf>
    <xf numFmtId="0" fontId="6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 wrapText="1"/>
    </xf>
    <xf numFmtId="3" fontId="68" fillId="42" borderId="10" xfId="0" applyNumberFormat="1" applyFont="1" applyFill="1" applyBorder="1" applyAlignment="1">
      <alignment horizontal="center" vertical="center"/>
    </xf>
    <xf numFmtId="0" fontId="10" fillId="0" borderId="23" xfId="36" applyFont="1" applyBorder="1" applyAlignment="1">
      <alignment horizontal="justify" vertical="center" wrapText="1"/>
    </xf>
    <xf numFmtId="195" fontId="0" fillId="0" borderId="23" xfId="54" applyNumberFormat="1" applyBorder="1" applyAlignment="1">
      <alignment horizontal="justify" vertical="center" wrapText="1"/>
    </xf>
    <xf numFmtId="0" fontId="69" fillId="42" borderId="15" xfId="0" applyFont="1" applyFill="1" applyBorder="1" applyAlignment="1">
      <alignment horizontal="center" vertical="center" wrapText="1"/>
    </xf>
    <xf numFmtId="195" fontId="72" fillId="44" borderId="10" xfId="54" applyNumberFormat="1" applyFont="1" applyFill="1" applyBorder="1" applyAlignment="1">
      <alignment horizontal="justify" vertical="center" wrapText="1"/>
    </xf>
    <xf numFmtId="0" fontId="0" fillId="0" borderId="12" xfId="36" applyFont="1" applyBorder="1" applyAlignment="1">
      <alignment vertical="center" wrapText="1"/>
    </xf>
    <xf numFmtId="195" fontId="0" fillId="0" borderId="23" xfId="54" applyNumberFormat="1" applyBorder="1" applyAlignment="1">
      <alignment horizontal="right" vertical="center" wrapText="1"/>
    </xf>
    <xf numFmtId="195" fontId="67" fillId="45" borderId="10" xfId="54" applyNumberFormat="1" applyFont="1" applyFill="1" applyBorder="1" applyAlignment="1">
      <alignment horizontal="justify" vertical="center" wrapText="1"/>
    </xf>
    <xf numFmtId="0" fontId="0" fillId="0" borderId="24" xfId="36" applyFont="1" applyBorder="1" applyAlignment="1">
      <alignment horizontal="left" vertical="center" wrapText="1"/>
    </xf>
    <xf numFmtId="0" fontId="0" fillId="0" borderId="12" xfId="36" applyFont="1" applyBorder="1" applyAlignment="1">
      <alignment vertical="center" wrapText="1"/>
    </xf>
    <xf numFmtId="195" fontId="67" fillId="44" borderId="10" xfId="54" applyNumberFormat="1" applyFont="1" applyFill="1" applyBorder="1" applyAlignment="1">
      <alignment horizontal="justify" vertical="center" wrapText="1"/>
    </xf>
    <xf numFmtId="0" fontId="0" fillId="0" borderId="25" xfId="36" applyFont="1" applyBorder="1" applyAlignment="1">
      <alignment horizontal="justify" vertical="center" wrapText="1"/>
    </xf>
    <xf numFmtId="3" fontId="69" fillId="4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0" fillId="0" borderId="12" xfId="36" applyFont="1" applyBorder="1" applyAlignment="1">
      <alignment horizontal="left" vertical="center" wrapText="1"/>
    </xf>
    <xf numFmtId="195" fontId="0" fillId="0" borderId="10" xfId="0" applyNumberFormat="1" applyBorder="1" applyAlignment="1" applyProtection="1">
      <alignment horizontal="left" vertical="center"/>
      <protection locked="0"/>
    </xf>
    <xf numFmtId="0" fontId="10" fillId="0" borderId="26" xfId="36" applyFont="1" applyBorder="1" applyAlignment="1">
      <alignment horizontal="left" vertical="center" wrapText="1"/>
    </xf>
    <xf numFmtId="0" fontId="0" fillId="0" borderId="25" xfId="36" applyFont="1" applyFill="1" applyBorder="1" applyAlignment="1">
      <alignment horizontal="left" vertical="center" wrapText="1"/>
    </xf>
    <xf numFmtId="0" fontId="0" fillId="0" borderId="26" xfId="36" applyFont="1" applyBorder="1" applyAlignment="1">
      <alignment horizontal="left" vertical="center" wrapText="1"/>
    </xf>
    <xf numFmtId="0" fontId="0" fillId="0" borderId="26" xfId="36" applyFont="1" applyBorder="1" applyAlignment="1">
      <alignment horizontal="left" vertical="center" wrapText="1"/>
    </xf>
    <xf numFmtId="0" fontId="0" fillId="0" borderId="27" xfId="36" applyFont="1" applyBorder="1" applyAlignment="1">
      <alignment horizontal="left" vertical="center" wrapText="1"/>
    </xf>
    <xf numFmtId="0" fontId="0" fillId="0" borderId="24" xfId="36" applyFont="1" applyBorder="1" applyAlignment="1">
      <alignment horizontal="left" vertical="center" wrapText="1"/>
    </xf>
    <xf numFmtId="0" fontId="0" fillId="0" borderId="25" xfId="36" applyFont="1" applyBorder="1" applyAlignment="1">
      <alignment horizontal="justify" vertical="center" wrapText="1"/>
    </xf>
    <xf numFmtId="0" fontId="10" fillId="0" borderId="28" xfId="36" applyFont="1" applyBorder="1" applyAlignment="1">
      <alignment horizontal="justify" vertical="center" wrapText="1"/>
    </xf>
    <xf numFmtId="0" fontId="0" fillId="0" borderId="29" xfId="36" applyFont="1" applyFill="1" applyBorder="1" applyAlignment="1">
      <alignment horizontal="left" vertical="center" wrapText="1"/>
    </xf>
    <xf numFmtId="0" fontId="0" fillId="0" borderId="25" xfId="36" applyFont="1" applyFill="1" applyBorder="1" applyAlignment="1">
      <alignment horizontal="left" vertical="center" wrapText="1"/>
    </xf>
    <xf numFmtId="195" fontId="0" fillId="0" borderId="10" xfId="54" applyNumberFormat="1" applyFont="1" applyBorder="1" applyAlignment="1">
      <alignment horizontal="right" vertical="center" wrapText="1"/>
    </xf>
    <xf numFmtId="0" fontId="67" fillId="38" borderId="0" xfId="0" applyFont="1" applyFill="1" applyAlignment="1">
      <alignment wrapText="1"/>
    </xf>
    <xf numFmtId="41" fontId="67" fillId="38" borderId="0" xfId="0" applyNumberFormat="1" applyFont="1" applyFill="1" applyAlignment="1">
      <alignment wrapText="1"/>
    </xf>
    <xf numFmtId="0" fontId="1" fillId="46" borderId="15" xfId="0" applyFont="1" applyFill="1" applyBorder="1" applyAlignment="1">
      <alignment horizontal="center" vertical="center" wrapText="1"/>
    </xf>
    <xf numFmtId="0" fontId="11" fillId="46" borderId="15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right" vertical="center"/>
    </xf>
    <xf numFmtId="180" fontId="4" fillId="46" borderId="15" xfId="0" applyNumberFormat="1" applyFont="1" applyFill="1" applyBorder="1" applyAlignment="1">
      <alignment vertical="center"/>
    </xf>
    <xf numFmtId="195" fontId="0" fillId="0" borderId="23" xfId="54" applyNumberFormat="1" applyFont="1" applyBorder="1" applyAlignment="1">
      <alignment horizontal="justify" vertical="center" wrapText="1"/>
    </xf>
    <xf numFmtId="195" fontId="0" fillId="0" borderId="10" xfId="54" applyNumberFormat="1" applyFont="1" applyBorder="1" applyAlignment="1">
      <alignment horizontal="justify" vertical="center" wrapText="1"/>
    </xf>
    <xf numFmtId="195" fontId="0" fillId="0" borderId="10" xfId="54" applyNumberFormat="1" applyFont="1" applyBorder="1" applyAlignment="1">
      <alignment horizontal="justify" vertical="center" wrapText="1"/>
    </xf>
    <xf numFmtId="41" fontId="0" fillId="0" borderId="0" xfId="0" applyNumberFormat="1" applyAlignment="1">
      <alignment/>
    </xf>
    <xf numFmtId="195" fontId="0" fillId="0" borderId="13" xfId="0" applyNumberForma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left" vertical="center"/>
    </xf>
    <xf numFmtId="0" fontId="71" fillId="42" borderId="10" xfId="0" applyFont="1" applyFill="1" applyBorder="1" applyAlignment="1">
      <alignment horizontal="center" vertical="center" wrapText="1"/>
    </xf>
    <xf numFmtId="179" fontId="74" fillId="43" borderId="30" xfId="0" applyNumberFormat="1" applyFont="1" applyFill="1" applyBorder="1" applyAlignment="1">
      <alignment horizontal="center" vertical="center"/>
    </xf>
    <xf numFmtId="179" fontId="74" fillId="43" borderId="31" xfId="0" applyNumberFormat="1" applyFont="1" applyFill="1" applyBorder="1" applyAlignment="1">
      <alignment horizontal="center" vertical="center"/>
    </xf>
    <xf numFmtId="179" fontId="74" fillId="43" borderId="32" xfId="0" applyNumberFormat="1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justify" vertical="center" wrapText="1"/>
    </xf>
    <xf numFmtId="0" fontId="10" fillId="41" borderId="10" xfId="0" applyFont="1" applyFill="1" applyBorder="1" applyAlignment="1">
      <alignment horizontal="justify" vertical="center" wrapText="1"/>
    </xf>
    <xf numFmtId="0" fontId="10" fillId="0" borderId="33" xfId="36" applyFont="1" applyBorder="1" applyAlignment="1">
      <alignment horizontal="left" vertical="center" wrapText="1"/>
    </xf>
    <xf numFmtId="0" fontId="10" fillId="0" borderId="23" xfId="36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left" vertical="center" wrapText="1"/>
    </xf>
    <xf numFmtId="0" fontId="68" fillId="4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71" fillId="42" borderId="1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75" fillId="42" borderId="10" xfId="0" applyFont="1" applyFill="1" applyBorder="1" applyAlignment="1" applyProtection="1">
      <alignment horizontal="center" vertical="center"/>
      <protection locked="0"/>
    </xf>
    <xf numFmtId="0" fontId="69" fillId="43" borderId="39" xfId="0" applyFont="1" applyFill="1" applyBorder="1" applyAlignment="1" applyProtection="1">
      <alignment horizontal="right" vertical="top"/>
      <protection locked="0"/>
    </xf>
    <xf numFmtId="0" fontId="69" fillId="43" borderId="40" xfId="0" applyFont="1" applyFill="1" applyBorder="1" applyAlignment="1" applyProtection="1">
      <alignment horizontal="right" vertical="top"/>
      <protection locked="0"/>
    </xf>
    <xf numFmtId="0" fontId="69" fillId="43" borderId="41" xfId="0" applyFont="1" applyFill="1" applyBorder="1" applyAlignment="1" applyProtection="1">
      <alignment horizontal="right" vertical="top"/>
      <protection locked="0"/>
    </xf>
    <xf numFmtId="0" fontId="10" fillId="41" borderId="12" xfId="0" applyFont="1" applyFill="1" applyBorder="1" applyAlignment="1">
      <alignment horizontal="left" vertical="center" wrapText="1"/>
    </xf>
    <xf numFmtId="0" fontId="10" fillId="41" borderId="23" xfId="0" applyFont="1" applyFill="1" applyBorder="1" applyAlignment="1">
      <alignment horizontal="left" vertical="center" wrapText="1"/>
    </xf>
    <xf numFmtId="0" fontId="10" fillId="41" borderId="42" xfId="0" applyFont="1" applyFill="1" applyBorder="1" applyAlignment="1">
      <alignment horizontal="left" vertical="center" wrapText="1"/>
    </xf>
    <xf numFmtId="0" fontId="10" fillId="0" borderId="12" xfId="36" applyFont="1" applyBorder="1" applyAlignment="1">
      <alignment horizontal="left" vertical="center" wrapText="1"/>
    </xf>
    <xf numFmtId="0" fontId="69" fillId="40" borderId="39" xfId="0" applyFont="1" applyFill="1" applyBorder="1" applyAlignment="1" applyProtection="1">
      <alignment horizontal="right" vertical="top"/>
      <protection locked="0"/>
    </xf>
    <xf numFmtId="0" fontId="69" fillId="40" borderId="40" xfId="0" applyFont="1" applyFill="1" applyBorder="1" applyAlignment="1" applyProtection="1">
      <alignment horizontal="right" vertical="top"/>
      <protection locked="0"/>
    </xf>
    <xf numFmtId="0" fontId="69" fillId="40" borderId="41" xfId="0" applyFont="1" applyFill="1" applyBorder="1" applyAlignment="1" applyProtection="1">
      <alignment horizontal="right" vertical="top"/>
      <protection locked="0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0" fillId="41" borderId="43" xfId="0" applyFont="1" applyFill="1" applyBorder="1" applyAlignment="1">
      <alignment horizontal="left" vertical="center" wrapText="1"/>
    </xf>
    <xf numFmtId="0" fontId="10" fillId="41" borderId="44" xfId="0" applyFont="1" applyFill="1" applyBorder="1" applyAlignment="1">
      <alignment horizontal="left" vertical="center" wrapText="1"/>
    </xf>
    <xf numFmtId="0" fontId="10" fillId="41" borderId="45" xfId="0" applyFont="1" applyFill="1" applyBorder="1" applyAlignment="1">
      <alignment horizontal="left" vertical="center" wrapText="1"/>
    </xf>
    <xf numFmtId="0" fontId="10" fillId="0" borderId="46" xfId="36" applyFont="1" applyBorder="1" applyAlignment="1">
      <alignment vertical="center" wrapText="1"/>
    </xf>
    <xf numFmtId="0" fontId="10" fillId="0" borderId="47" xfId="36" applyFont="1" applyBorder="1" applyAlignment="1">
      <alignment vertical="center" wrapText="1"/>
    </xf>
    <xf numFmtId="0" fontId="10" fillId="0" borderId="43" xfId="36" applyFont="1" applyBorder="1" applyAlignment="1">
      <alignment horizontal="left" vertical="center" wrapText="1"/>
    </xf>
    <xf numFmtId="0" fontId="10" fillId="0" borderId="45" xfId="36" applyFont="1" applyBorder="1" applyAlignment="1">
      <alignment horizontal="left" vertical="center" wrapText="1"/>
    </xf>
    <xf numFmtId="0" fontId="10" fillId="0" borderId="48" xfId="36" applyFont="1" applyBorder="1" applyAlignment="1">
      <alignment horizontal="left" vertical="center" wrapText="1"/>
    </xf>
    <xf numFmtId="0" fontId="10" fillId="0" borderId="47" xfId="36" applyFont="1" applyBorder="1" applyAlignment="1">
      <alignment horizontal="left" vertical="center" wrapText="1"/>
    </xf>
    <xf numFmtId="0" fontId="10" fillId="0" borderId="46" xfId="36" applyFont="1" applyBorder="1" applyAlignment="1">
      <alignment horizontal="left" vertical="center" wrapText="1"/>
    </xf>
    <xf numFmtId="0" fontId="10" fillId="41" borderId="33" xfId="0" applyFont="1" applyFill="1" applyBorder="1" applyAlignment="1">
      <alignment horizontal="left" vertical="center" wrapText="1"/>
    </xf>
    <xf numFmtId="0" fontId="10" fillId="41" borderId="49" xfId="0" applyFont="1" applyFill="1" applyBorder="1" applyAlignment="1">
      <alignment horizontal="left" vertical="center" wrapText="1"/>
    </xf>
    <xf numFmtId="195" fontId="0" fillId="0" borderId="10" xfId="0" applyNumberFormat="1" applyBorder="1" applyAlignment="1" applyProtection="1">
      <alignment horizontal="left" vertical="center"/>
      <protection locked="0"/>
    </xf>
    <xf numFmtId="0" fontId="10" fillId="0" borderId="27" xfId="36" applyFont="1" applyBorder="1" applyAlignment="1">
      <alignment horizontal="left" vertical="center" wrapText="1"/>
    </xf>
    <xf numFmtId="0" fontId="10" fillId="0" borderId="26" xfId="36" applyFont="1" applyBorder="1" applyAlignment="1">
      <alignment horizontal="left" vertical="center" wrapText="1"/>
    </xf>
    <xf numFmtId="0" fontId="0" fillId="41" borderId="33" xfId="0" applyFont="1" applyFill="1" applyBorder="1" applyAlignment="1">
      <alignment horizontal="left" vertical="center" wrapText="1"/>
    </xf>
    <xf numFmtId="0" fontId="0" fillId="41" borderId="12" xfId="0" applyFont="1" applyFill="1" applyBorder="1" applyAlignment="1">
      <alignment horizontal="left" vertical="center" wrapText="1"/>
    </xf>
    <xf numFmtId="195" fontId="0" fillId="0" borderId="14" xfId="0" applyNumberFormat="1" applyBorder="1" applyAlignment="1" applyProtection="1">
      <alignment horizontal="left" vertical="center"/>
      <protection locked="0"/>
    </xf>
    <xf numFmtId="195" fontId="0" fillId="0" borderId="13" xfId="0" applyNumberFormat="1" applyBorder="1" applyAlignment="1" applyProtection="1">
      <alignment horizontal="left" vertical="center"/>
      <protection locked="0"/>
    </xf>
    <xf numFmtId="0" fontId="13" fillId="0" borderId="36" xfId="0" applyFont="1" applyBorder="1" applyAlignment="1">
      <alignment horizontal="justify" vertical="top" wrapText="1"/>
    </xf>
    <xf numFmtId="0" fontId="13" fillId="0" borderId="37" xfId="0" applyFont="1" applyBorder="1" applyAlignment="1">
      <alignment horizontal="left" vertical="top" wrapText="1"/>
    </xf>
    <xf numFmtId="0" fontId="71" fillId="39" borderId="10" xfId="0" applyFont="1" applyFill="1" applyBorder="1" applyAlignment="1">
      <alignment horizontal="center" vertical="center" wrapText="1"/>
    </xf>
    <xf numFmtId="0" fontId="10" fillId="41" borderId="50" xfId="0" applyFont="1" applyFill="1" applyBorder="1" applyAlignment="1">
      <alignment horizontal="left" vertical="center" wrapText="1"/>
    </xf>
    <xf numFmtId="0" fontId="10" fillId="41" borderId="51" xfId="0" applyFont="1" applyFill="1" applyBorder="1" applyAlignment="1">
      <alignment horizontal="left" vertical="center" wrapText="1"/>
    </xf>
    <xf numFmtId="0" fontId="10" fillId="41" borderId="52" xfId="0" applyFont="1" applyFill="1" applyBorder="1" applyAlignment="1">
      <alignment horizontal="left" vertical="center" wrapText="1"/>
    </xf>
    <xf numFmtId="0" fontId="0" fillId="47" borderId="15" xfId="0" applyFill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179" fontId="74" fillId="43" borderId="55" xfId="0" applyNumberFormat="1" applyFont="1" applyFill="1" applyBorder="1" applyAlignment="1">
      <alignment horizontal="center" vertical="center"/>
    </xf>
    <xf numFmtId="0" fontId="0" fillId="47" borderId="56" xfId="0" applyFill="1" applyBorder="1" applyAlignment="1">
      <alignment horizontal="left" vertical="center" wrapText="1"/>
    </xf>
    <xf numFmtId="0" fontId="0" fillId="47" borderId="24" xfId="0" applyFill="1" applyBorder="1" applyAlignment="1">
      <alignment horizontal="left" vertical="center" wrapText="1"/>
    </xf>
    <xf numFmtId="0" fontId="0" fillId="47" borderId="57" xfId="0" applyFill="1" applyBorder="1" applyAlignment="1">
      <alignment horizontal="left" vertical="center" wrapText="1"/>
    </xf>
    <xf numFmtId="0" fontId="0" fillId="47" borderId="25" xfId="0" applyFill="1" applyBorder="1" applyAlignment="1">
      <alignment horizontal="left" vertical="center" wrapText="1"/>
    </xf>
    <xf numFmtId="0" fontId="10" fillId="0" borderId="58" xfId="36" applyFont="1" applyBorder="1" applyAlignment="1">
      <alignment horizontal="left" vertical="center" wrapText="1"/>
    </xf>
    <xf numFmtId="0" fontId="10" fillId="0" borderId="59" xfId="36" applyFont="1" applyBorder="1" applyAlignment="1">
      <alignment horizontal="left" vertical="center" wrapText="1"/>
    </xf>
    <xf numFmtId="0" fontId="69" fillId="43" borderId="60" xfId="0" applyFont="1" applyFill="1" applyBorder="1" applyAlignment="1" applyProtection="1">
      <alignment horizontal="right" vertical="top"/>
      <protection locked="0"/>
    </xf>
    <xf numFmtId="0" fontId="75" fillId="42" borderId="14" xfId="0" applyFont="1" applyFill="1" applyBorder="1" applyAlignment="1" applyProtection="1">
      <alignment horizontal="center" vertical="center"/>
      <protection locked="0"/>
    </xf>
    <xf numFmtId="0" fontId="75" fillId="42" borderId="13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/>
    </xf>
    <xf numFmtId="0" fontId="10" fillId="0" borderId="49" xfId="36" applyFont="1" applyBorder="1" applyAlignment="1">
      <alignment horizontal="left" vertical="center" wrapText="1"/>
    </xf>
    <xf numFmtId="0" fontId="2" fillId="41" borderId="33" xfId="0" applyFont="1" applyFill="1" applyBorder="1" applyAlignment="1">
      <alignment horizontal="left" vertical="center" wrapText="1"/>
    </xf>
    <xf numFmtId="0" fontId="2" fillId="41" borderId="61" xfId="0" applyFont="1" applyFill="1" applyBorder="1" applyAlignment="1">
      <alignment horizontal="left" vertical="center" wrapText="1"/>
    </xf>
    <xf numFmtId="0" fontId="10" fillId="41" borderId="61" xfId="0" applyFont="1" applyFill="1" applyBorder="1" applyAlignment="1">
      <alignment horizontal="left" vertical="center" wrapText="1"/>
    </xf>
    <xf numFmtId="0" fontId="4" fillId="46" borderId="15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 wrapText="1"/>
    </xf>
    <xf numFmtId="0" fontId="21" fillId="48" borderId="62" xfId="0" applyFont="1" applyFill="1" applyBorder="1" applyAlignment="1">
      <alignment horizontal="center"/>
    </xf>
    <xf numFmtId="0" fontId="21" fillId="48" borderId="63" xfId="0" applyFont="1" applyFill="1" applyBorder="1" applyAlignment="1">
      <alignment horizontal="center"/>
    </xf>
    <xf numFmtId="0" fontId="21" fillId="48" borderId="64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14" fillId="49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0" fillId="49" borderId="10" xfId="0" applyFill="1" applyBorder="1" applyAlignment="1">
      <alignment horizontal="center" vertical="center" wrapText="1"/>
    </xf>
    <xf numFmtId="195" fontId="0" fillId="0" borderId="23" xfId="54" applyNumberFormat="1" applyFont="1" applyBorder="1" applyAlignment="1">
      <alignment horizontal="justify" vertical="center" wrapText="1"/>
    </xf>
    <xf numFmtId="195" fontId="2" fillId="0" borderId="0" xfId="0" applyNumberFormat="1" applyFont="1" applyAlignment="1">
      <alignment vertical="center"/>
    </xf>
    <xf numFmtId="0" fontId="10" fillId="0" borderId="65" xfId="36" applyFont="1" applyBorder="1" applyAlignment="1">
      <alignment horizontal="left" vertical="center" wrapText="1"/>
    </xf>
    <xf numFmtId="0" fontId="10" fillId="0" borderId="0" xfId="36" applyFont="1" applyBorder="1" applyAlignment="1">
      <alignment horizontal="left" vertical="center" wrapText="1"/>
    </xf>
    <xf numFmtId="195" fontId="0" fillId="0" borderId="23" xfId="54" applyNumberFormat="1" applyFont="1" applyBorder="1" applyAlignment="1">
      <alignment horizontal="right" vertical="center" wrapText="1"/>
    </xf>
    <xf numFmtId="0" fontId="10" fillId="0" borderId="27" xfId="36" applyFont="1" applyBorder="1" applyAlignment="1">
      <alignment vertical="center" wrapText="1"/>
    </xf>
    <xf numFmtId="0" fontId="10" fillId="0" borderId="45" xfId="36" applyFont="1" applyBorder="1" applyAlignment="1">
      <alignment vertical="center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mpo de la tabla dinámica" xfId="35"/>
    <cellStyle name="Categoría de la tabla dinámica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quina de la tabla dinámica" xfId="48"/>
    <cellStyle name="Excel Built-in Excel Built-in Excel Built-in TableStyleLight1" xfId="49"/>
    <cellStyle name="Excel Built-in TableStyleLight1" xfId="50"/>
    <cellStyle name="Hyperlink" xfId="51"/>
    <cellStyle name="Followed Hyperlink" xfId="52"/>
    <cellStyle name="Incorrecto" xfId="53"/>
    <cellStyle name="Comma" xfId="54"/>
    <cellStyle name="Comma [0]" xfId="55"/>
    <cellStyle name="Millares [0] 2" xfId="56"/>
    <cellStyle name="Millares [0] 2 2" xfId="57"/>
    <cellStyle name="Millares [0] 2 3" xfId="58"/>
    <cellStyle name="Millares [0] 3" xfId="59"/>
    <cellStyle name="Millares [0] 4" xfId="60"/>
    <cellStyle name="Currency" xfId="61"/>
    <cellStyle name="Currency [0]" xfId="62"/>
    <cellStyle name="Moneda [0] 2" xfId="63"/>
    <cellStyle name="Moneda [0] 3" xfId="64"/>
    <cellStyle name="Moneda [0] 3 2" xfId="65"/>
    <cellStyle name="Moneda [0] 3 2 2" xfId="66"/>
    <cellStyle name="Moneda [0] 3 2 3" xfId="67"/>
    <cellStyle name="Moneda [0] 3 3" xfId="68"/>
    <cellStyle name="Moneda [0] 3 4" xfId="69"/>
    <cellStyle name="Moneda [0] 4" xfId="70"/>
    <cellStyle name="Moneda [0] 5" xfId="71"/>
    <cellStyle name="Moneda [0] 5 2" xfId="72"/>
    <cellStyle name="Moneda [0] 5 2 2" xfId="73"/>
    <cellStyle name="Moneda [0] 5 2 3" xfId="74"/>
    <cellStyle name="Moneda [0] 5 3" xfId="75"/>
    <cellStyle name="Moneda [0] 5 4" xfId="76"/>
    <cellStyle name="Neutral" xfId="77"/>
    <cellStyle name="Normal 2" xfId="78"/>
    <cellStyle name="Normal 2 2" xfId="79"/>
    <cellStyle name="Normal 3" xfId="80"/>
    <cellStyle name="Normal 4" xfId="81"/>
    <cellStyle name="Notas" xfId="82"/>
    <cellStyle name="Percent" xfId="83"/>
    <cellStyle name="Resultado de la tabla dinámica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ítulo de la tabla dinámica" xfId="91"/>
    <cellStyle name="Total" xfId="92"/>
    <cellStyle name="Valor de la tabla dinámica" xfId="93"/>
    <cellStyle name="Valor de la tabla dinámica 1" xfId="94"/>
    <cellStyle name="Valor de la tabla dinámica 2" xfId="95"/>
    <cellStyle name="Valor de la tabla dinámica 3" xfId="96"/>
    <cellStyle name="Valor de la tabla dinámica 4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99FF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83CAFF"/>
      <rgbColor rgb="00FF99CC"/>
      <rgbColor rgb="00CC99FF"/>
      <rgbColor rgb="00FFCC99"/>
      <rgbColor rgb="003366FF"/>
      <rgbColor rgb="0033CCCC"/>
      <rgbColor rgb="00CCCC00"/>
      <rgbColor rgb="00E6E64C"/>
      <rgbColor rgb="00FF9900"/>
      <rgbColor rgb="00FF6600"/>
      <rgbColor rgb="009966CC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0</xdr:col>
      <xdr:colOff>1371600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096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1400175</xdr:colOff>
      <xdr:row>2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247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1457325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12096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0</xdr:col>
      <xdr:colOff>1857375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6097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0</xdr:col>
      <xdr:colOff>1190625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962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38100</xdr:rowOff>
    </xdr:from>
    <xdr:to>
      <xdr:col>0</xdr:col>
      <xdr:colOff>1190625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962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0</xdr:col>
      <xdr:colOff>1371600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096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38100</xdr:rowOff>
    </xdr:from>
    <xdr:to>
      <xdr:col>0</xdr:col>
      <xdr:colOff>1476375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1076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0</xdr:col>
      <xdr:colOff>1190625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962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38100</xdr:rowOff>
    </xdr:from>
    <xdr:to>
      <xdr:col>0</xdr:col>
      <xdr:colOff>1190625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962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38100</xdr:rowOff>
    </xdr:from>
    <xdr:to>
      <xdr:col>0</xdr:col>
      <xdr:colOff>1238250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9810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0</xdr:col>
      <xdr:colOff>1590675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3906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66675</xdr:rowOff>
    </xdr:from>
    <xdr:to>
      <xdr:col>0</xdr:col>
      <xdr:colOff>1209675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9239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38100</xdr:rowOff>
    </xdr:from>
    <xdr:to>
      <xdr:col>0</xdr:col>
      <xdr:colOff>1190625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962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38100</xdr:rowOff>
    </xdr:from>
    <xdr:to>
      <xdr:col>0</xdr:col>
      <xdr:colOff>1190625</xdr:colOff>
      <xdr:row>2</xdr:row>
      <xdr:rowOff>238125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962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19050</xdr:rowOff>
    </xdr:from>
    <xdr:to>
      <xdr:col>0</xdr:col>
      <xdr:colOff>1485900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1104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1381125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001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vanni%20Navarro\DOCUMENTOS\bogota%20humana\PLAN%20DE%20ACCION%202014\Plan%20de%20accion%20SCRD%202014%20version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PI"/>
      <sheetName val="Diversidad"/>
      <sheetName val="Comunica"/>
      <sheetName val="GC Local"/>
      <sheetName val="Biblio"/>
      <sheetName val="Recrea"/>
      <sheetName val="Oportunid"/>
      <sheetName val="Corredores"/>
      <sheetName val="C Juveniles"/>
      <sheetName val="Transf"/>
      <sheetName val="ESAL"/>
      <sheetName val="Participa"/>
      <sheetName val="Observat"/>
      <sheetName val="Transparen"/>
      <sheetName val="Fortalec"/>
      <sheetName val="Resumen"/>
      <sheetName val="Control cambios"/>
      <sheetName val="Conceptos"/>
      <sheetName val="GC_Local"/>
      <sheetName val="C_Juveniles"/>
      <sheetName val="Control_cambios"/>
      <sheetName val="GC_Local1"/>
      <sheetName val="C_Juveniles1"/>
      <sheetName val="Control_cambios1"/>
      <sheetName val="GC_Local2"/>
      <sheetName val="C_Juveniles2"/>
      <sheetName val="GC_Local3"/>
      <sheetName val="C_Juveniles3"/>
      <sheetName val="Control_cambios2"/>
      <sheetName val="GC_Local4"/>
      <sheetName val="C_Juveniles4"/>
      <sheetName val="GC_Local5"/>
      <sheetName val="C_Juveniles5"/>
      <sheetName val="Control_cambios3"/>
      <sheetName val="GC_Local6"/>
      <sheetName val="C_Juveniles6"/>
      <sheetName val="GC_Local7"/>
      <sheetName val="C_Juveniles7"/>
      <sheetName val="Control_cambios4"/>
      <sheetName val="GC_Local8"/>
      <sheetName val="C_Juveniles8"/>
      <sheetName val="Control_cambios5"/>
      <sheetName val="GC_Local9"/>
      <sheetName val="C_Juveniles9"/>
      <sheetName val="Control_cambios6"/>
      <sheetName val="GC_Local10"/>
      <sheetName val="C_Juveniles10"/>
      <sheetName val="Control_cambios7"/>
      <sheetName val="GC_Local11"/>
      <sheetName val="C_Juveniles11"/>
      <sheetName val="Control_cambios8"/>
    </sheetNames>
    <sheetDataSet>
      <sheetData sheetId="0">
        <row r="18">
          <cell r="I18">
            <v>100000000</v>
          </cell>
        </row>
        <row r="19">
          <cell r="I19">
            <v>491000000</v>
          </cell>
        </row>
        <row r="20">
          <cell r="I20">
            <v>143744467</v>
          </cell>
        </row>
        <row r="22">
          <cell r="I22">
            <v>203655533</v>
          </cell>
        </row>
      </sheetData>
      <sheetData sheetId="1">
        <row r="20">
          <cell r="I20">
            <v>27500000</v>
          </cell>
        </row>
        <row r="21">
          <cell r="I21">
            <v>298850000</v>
          </cell>
        </row>
        <row r="23">
          <cell r="I23">
            <v>50000000</v>
          </cell>
        </row>
        <row r="25">
          <cell r="I25">
            <v>344000000</v>
          </cell>
        </row>
        <row r="26">
          <cell r="I26">
            <v>36000000</v>
          </cell>
        </row>
        <row r="27">
          <cell r="I27">
            <v>59565000</v>
          </cell>
        </row>
        <row r="29">
          <cell r="I29">
            <v>192650000</v>
          </cell>
        </row>
        <row r="30">
          <cell r="I30">
            <v>40789000</v>
          </cell>
        </row>
        <row r="31">
          <cell r="I31">
            <v>43867000</v>
          </cell>
        </row>
        <row r="32">
          <cell r="I32">
            <v>55844000</v>
          </cell>
        </row>
        <row r="33">
          <cell r="I33">
            <v>138785000</v>
          </cell>
        </row>
        <row r="36">
          <cell r="I36">
            <v>26000000</v>
          </cell>
        </row>
        <row r="39">
          <cell r="I39">
            <v>150000000</v>
          </cell>
        </row>
      </sheetData>
      <sheetData sheetId="2">
        <row r="18">
          <cell r="I18">
            <v>40600000</v>
          </cell>
        </row>
        <row r="19">
          <cell r="I19">
            <v>205540000</v>
          </cell>
        </row>
        <row r="22">
          <cell r="I22">
            <v>0</v>
          </cell>
        </row>
        <row r="23">
          <cell r="I23">
            <v>8979099</v>
          </cell>
        </row>
        <row r="24">
          <cell r="I24">
            <v>31162067</v>
          </cell>
        </row>
        <row r="25">
          <cell r="I25">
            <v>245918000</v>
          </cell>
        </row>
        <row r="28">
          <cell r="I28">
            <v>57700000</v>
          </cell>
        </row>
        <row r="30">
          <cell r="I30">
            <v>75741834</v>
          </cell>
        </row>
        <row r="32">
          <cell r="I32">
            <v>20000000</v>
          </cell>
        </row>
      </sheetData>
      <sheetData sheetId="3">
        <row r="19">
          <cell r="I19">
            <v>84331859</v>
          </cell>
        </row>
        <row r="21">
          <cell r="I21">
            <v>162695802</v>
          </cell>
        </row>
        <row r="22">
          <cell r="I22">
            <v>78854800</v>
          </cell>
        </row>
        <row r="23">
          <cell r="I23">
            <v>48733341</v>
          </cell>
        </row>
        <row r="24">
          <cell r="I24">
            <v>500000000</v>
          </cell>
        </row>
        <row r="26">
          <cell r="I26">
            <v>25384198</v>
          </cell>
        </row>
        <row r="27">
          <cell r="I27">
            <v>99376000</v>
          </cell>
        </row>
        <row r="28">
          <cell r="I28">
            <v>2156387000</v>
          </cell>
        </row>
      </sheetData>
      <sheetData sheetId="4">
        <row r="25">
          <cell r="I25">
            <v>19413629500</v>
          </cell>
        </row>
        <row r="26">
          <cell r="I26">
            <v>200000000</v>
          </cell>
        </row>
        <row r="27">
          <cell r="I27">
            <v>32000000</v>
          </cell>
        </row>
        <row r="28">
          <cell r="I28">
            <v>907762500</v>
          </cell>
        </row>
        <row r="29">
          <cell r="I29">
            <v>45000000</v>
          </cell>
        </row>
        <row r="31">
          <cell r="I31">
            <v>939608000</v>
          </cell>
        </row>
      </sheetData>
      <sheetData sheetId="5">
        <row r="19">
          <cell r="I19">
            <v>38285471</v>
          </cell>
        </row>
        <row r="21">
          <cell r="I21">
            <v>172956058</v>
          </cell>
        </row>
        <row r="22">
          <cell r="I22">
            <v>0</v>
          </cell>
        </row>
        <row r="23">
          <cell r="I23">
            <v>50285471</v>
          </cell>
        </row>
        <row r="24">
          <cell r="I24">
            <v>90000000</v>
          </cell>
        </row>
      </sheetData>
      <sheetData sheetId="6">
        <row r="19">
          <cell r="I19">
            <v>366080350</v>
          </cell>
        </row>
        <row r="20">
          <cell r="I20">
            <v>537000</v>
          </cell>
        </row>
        <row r="21">
          <cell r="I21">
            <v>37000000</v>
          </cell>
        </row>
        <row r="22">
          <cell r="I22">
            <v>3276000</v>
          </cell>
        </row>
        <row r="23">
          <cell r="I23">
            <v>261533650</v>
          </cell>
        </row>
        <row r="24">
          <cell r="I24">
            <v>544728750</v>
          </cell>
        </row>
        <row r="26">
          <cell r="I26">
            <v>1259410000</v>
          </cell>
        </row>
        <row r="27">
          <cell r="I27">
            <v>7700000</v>
          </cell>
        </row>
        <row r="30">
          <cell r="I30">
            <v>15000000</v>
          </cell>
        </row>
        <row r="31">
          <cell r="I31">
            <v>148860000</v>
          </cell>
        </row>
        <row r="33">
          <cell r="I33">
            <v>145000000</v>
          </cell>
        </row>
        <row r="34">
          <cell r="I34">
            <v>2034250</v>
          </cell>
        </row>
        <row r="35">
          <cell r="I35">
            <v>0</v>
          </cell>
        </row>
      </sheetData>
      <sheetData sheetId="7">
        <row r="22">
          <cell r="I22">
            <v>4150370207</v>
          </cell>
        </row>
        <row r="23">
          <cell r="I23">
            <v>200000000</v>
          </cell>
        </row>
        <row r="25">
          <cell r="I25">
            <v>73751750</v>
          </cell>
        </row>
        <row r="26">
          <cell r="I26">
            <v>123742000</v>
          </cell>
        </row>
        <row r="27">
          <cell r="I27">
            <v>0</v>
          </cell>
        </row>
        <row r="28">
          <cell r="I28">
            <v>200000000</v>
          </cell>
        </row>
        <row r="29">
          <cell r="AC29">
            <v>50000000</v>
          </cell>
        </row>
        <row r="30">
          <cell r="I30">
            <v>57810500</v>
          </cell>
        </row>
        <row r="31">
          <cell r="I31">
            <v>17000000</v>
          </cell>
        </row>
        <row r="32">
          <cell r="I32">
            <v>195374043</v>
          </cell>
        </row>
        <row r="33">
          <cell r="I33">
            <v>50009000</v>
          </cell>
        </row>
        <row r="36">
          <cell r="I36">
            <v>9720000000</v>
          </cell>
        </row>
        <row r="38">
          <cell r="I38">
            <v>75139000</v>
          </cell>
        </row>
        <row r="39">
          <cell r="I39">
            <v>113198000</v>
          </cell>
        </row>
        <row r="40">
          <cell r="I40">
            <v>25000000</v>
          </cell>
        </row>
        <row r="41">
          <cell r="I41">
            <v>36093000</v>
          </cell>
        </row>
        <row r="43">
          <cell r="I43">
            <v>280801000</v>
          </cell>
        </row>
        <row r="44">
          <cell r="I44">
            <v>74860000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100320500</v>
          </cell>
        </row>
      </sheetData>
      <sheetData sheetId="8">
        <row r="18">
          <cell r="I18">
            <v>502634000</v>
          </cell>
        </row>
        <row r="19">
          <cell r="I19">
            <v>97366000</v>
          </cell>
        </row>
      </sheetData>
      <sheetData sheetId="9">
        <row r="18">
          <cell r="I18">
            <v>211633000</v>
          </cell>
        </row>
        <row r="19">
          <cell r="I19">
            <v>135900000</v>
          </cell>
        </row>
        <row r="20">
          <cell r="I20">
            <v>230000000</v>
          </cell>
        </row>
      </sheetData>
      <sheetData sheetId="10">
        <row r="18">
          <cell r="I18">
            <v>294683000</v>
          </cell>
        </row>
      </sheetData>
      <sheetData sheetId="11">
        <row r="18">
          <cell r="I18">
            <v>252000000</v>
          </cell>
        </row>
        <row r="20">
          <cell r="I20">
            <v>484404775</v>
          </cell>
        </row>
        <row r="22">
          <cell r="I22">
            <v>41095225</v>
          </cell>
        </row>
        <row r="24">
          <cell r="I24">
            <v>131500000</v>
          </cell>
        </row>
        <row r="25">
          <cell r="I25">
            <v>69000000</v>
          </cell>
        </row>
        <row r="26">
          <cell r="I26">
            <v>131649381</v>
          </cell>
        </row>
        <row r="27">
          <cell r="I27">
            <v>263992619</v>
          </cell>
        </row>
      </sheetData>
      <sheetData sheetId="12">
        <row r="18">
          <cell r="I18">
            <v>295646000</v>
          </cell>
        </row>
        <row r="19">
          <cell r="I19">
            <v>70000000</v>
          </cell>
        </row>
        <row r="21">
          <cell r="I21">
            <v>340430500</v>
          </cell>
        </row>
        <row r="22">
          <cell r="I22">
            <v>12408000</v>
          </cell>
        </row>
        <row r="23">
          <cell r="I23">
            <v>30307500</v>
          </cell>
        </row>
      </sheetData>
      <sheetData sheetId="13">
        <row r="18">
          <cell r="I18">
            <v>0</v>
          </cell>
        </row>
        <row r="20">
          <cell r="I20">
            <v>60000000</v>
          </cell>
        </row>
        <row r="21">
          <cell r="I21">
            <v>0</v>
          </cell>
        </row>
        <row r="23">
          <cell r="I23">
            <v>159152000</v>
          </cell>
        </row>
        <row r="24">
          <cell r="I24">
            <v>0</v>
          </cell>
        </row>
      </sheetData>
      <sheetData sheetId="14">
        <row r="18">
          <cell r="I18">
            <v>178000000</v>
          </cell>
        </row>
        <row r="19">
          <cell r="I19">
            <v>275556967</v>
          </cell>
        </row>
        <row r="22">
          <cell r="I22">
            <v>57000000</v>
          </cell>
        </row>
        <row r="23">
          <cell r="I23">
            <v>128000000</v>
          </cell>
        </row>
        <row r="25">
          <cell r="I25">
            <v>262000000</v>
          </cell>
        </row>
        <row r="27">
          <cell r="I27">
            <v>354106500</v>
          </cell>
        </row>
        <row r="29">
          <cell r="I29">
            <v>52274200</v>
          </cell>
        </row>
        <row r="30">
          <cell r="I30">
            <v>23046283</v>
          </cell>
        </row>
        <row r="31">
          <cell r="I31">
            <v>5958050</v>
          </cell>
        </row>
        <row r="33">
          <cell r="I33">
            <v>96179361</v>
          </cell>
        </row>
        <row r="34">
          <cell r="I34">
            <v>0</v>
          </cell>
        </row>
        <row r="35">
          <cell r="I35">
            <v>233820639</v>
          </cell>
        </row>
        <row r="36">
          <cell r="I36">
            <v>0</v>
          </cell>
        </row>
        <row r="38">
          <cell r="I38">
            <v>172000000</v>
          </cell>
        </row>
        <row r="40">
          <cell r="I40">
            <v>1356300000</v>
          </cell>
        </row>
        <row r="42">
          <cell r="I42">
            <v>5000000</v>
          </cell>
        </row>
        <row r="43">
          <cell r="I43">
            <v>448000000</v>
          </cell>
        </row>
        <row r="45">
          <cell r="I45">
            <v>174000000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M28"/>
  <sheetViews>
    <sheetView tabSelected="1" view="pageBreakPreview" zoomScale="90" zoomScaleSheetLayoutView="90" zoomScalePageLayoutView="0" workbookViewId="0" topLeftCell="A1">
      <selection activeCell="B1" sqref="B1:E3"/>
    </sheetView>
  </sheetViews>
  <sheetFormatPr defaultColWidth="13.7109375" defaultRowHeight="12.75" customHeight="1"/>
  <cols>
    <col min="1" max="1" width="25.8515625" style="1" customWidth="1"/>
    <col min="2" max="2" width="30.28125" style="1" customWidth="1"/>
    <col min="3" max="3" width="39.28125" style="1" customWidth="1"/>
    <col min="4" max="4" width="27.28125" style="1" customWidth="1"/>
    <col min="5" max="5" width="24.00390625" style="1" customWidth="1"/>
    <col min="6" max="6" width="37.28125" style="0" customWidth="1"/>
    <col min="7" max="7" width="23.8515625" style="1" customWidth="1"/>
    <col min="8" max="98" width="13.8515625" style="1" customWidth="1"/>
    <col min="99" max="117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7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</row>
    <row r="6" spans="1:117" ht="26.25" customHeight="1">
      <c r="A6" s="78" t="s">
        <v>97</v>
      </c>
      <c r="B6" s="143" t="s">
        <v>112</v>
      </c>
      <c r="C6" s="143"/>
      <c r="D6" s="143"/>
      <c r="E6" s="82" t="s">
        <v>5</v>
      </c>
      <c r="F6" s="135" t="s">
        <v>99</v>
      </c>
      <c r="G6" s="13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</row>
    <row r="7" spans="1:7" ht="28.5" customHeight="1">
      <c r="A7" s="7"/>
      <c r="B7" s="8"/>
      <c r="C7" s="8"/>
      <c r="D7" s="8"/>
      <c r="E7" s="82" t="s">
        <v>98</v>
      </c>
      <c r="F7" s="135" t="s">
        <v>100</v>
      </c>
      <c r="G7" s="136"/>
    </row>
    <row r="8" spans="1:7" ht="16.5" customHeight="1">
      <c r="A8" s="79" t="s">
        <v>6</v>
      </c>
      <c r="B8" s="9">
        <v>7885</v>
      </c>
      <c r="C8" s="144" t="s">
        <v>7</v>
      </c>
      <c r="D8" s="144"/>
      <c r="E8" s="126" t="s">
        <v>101</v>
      </c>
      <c r="F8" s="126"/>
      <c r="G8" s="126"/>
    </row>
    <row r="9" spans="1:7" ht="34.5" customHeight="1">
      <c r="A9" s="80" t="s">
        <v>8</v>
      </c>
      <c r="B9" s="137" t="s">
        <v>105</v>
      </c>
      <c r="C9" s="137"/>
      <c r="D9" s="137"/>
      <c r="E9" s="137"/>
      <c r="F9" s="137"/>
      <c r="G9" s="137"/>
    </row>
    <row r="10" spans="1:7" ht="34.5" customHeight="1">
      <c r="A10" s="81" t="s">
        <v>9</v>
      </c>
      <c r="B10" s="138" t="s">
        <v>106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46" t="str">
        <f>+E19</f>
        <v>1-100-I011 - VA Estampilla Pro Cultura</v>
      </c>
      <c r="C13" s="146"/>
      <c r="D13" s="62">
        <f>+G19</f>
        <v>2384511000</v>
      </c>
      <c r="E13" s="12"/>
      <c r="F13" s="12"/>
      <c r="G13" s="12"/>
    </row>
    <row r="14" spans="1:7" ht="17.25" customHeight="1">
      <c r="A14" s="10"/>
      <c r="B14" s="101" t="s">
        <v>347</v>
      </c>
      <c r="C14" s="101"/>
      <c r="D14" s="62">
        <f>+G20</f>
        <v>3627000000</v>
      </c>
      <c r="E14" s="12"/>
      <c r="F14" s="12"/>
      <c r="G14" s="12"/>
    </row>
    <row r="15" spans="1:7" ht="17.25" customHeight="1">
      <c r="A15" s="10"/>
      <c r="B15" s="146" t="str">
        <f>+E22</f>
        <v>1-100-F001 -  VA Recursos del distrito </v>
      </c>
      <c r="C15" s="146"/>
      <c r="D15" s="62">
        <f>+G22+G21</f>
        <v>123083000</v>
      </c>
      <c r="E15" s="12"/>
      <c r="F15" s="12"/>
      <c r="G15" s="12"/>
    </row>
    <row r="16" spans="1:7" ht="13.5" customHeight="1">
      <c r="A16" s="10"/>
      <c r="B16" s="147" t="s">
        <v>11</v>
      </c>
      <c r="C16" s="147"/>
      <c r="D16" s="83">
        <f>SUM(D13:D15)</f>
        <v>6134594000</v>
      </c>
      <c r="E16" s="12"/>
      <c r="F16" s="12"/>
      <c r="G16" s="12"/>
    </row>
    <row r="17" spans="1:7" ht="13.5" customHeight="1">
      <c r="A17" s="10"/>
      <c r="B17" s="10"/>
      <c r="C17" s="10"/>
      <c r="D17" s="10"/>
      <c r="E17" s="10"/>
      <c r="F17" s="10"/>
      <c r="G17" s="10"/>
    </row>
    <row r="18" spans="1:7" ht="40.5" customHeight="1">
      <c r="A18" s="91" t="s">
        <v>12</v>
      </c>
      <c r="B18" s="91" t="s">
        <v>13</v>
      </c>
      <c r="C18" s="91" t="s">
        <v>280</v>
      </c>
      <c r="D18" s="91" t="s">
        <v>14</v>
      </c>
      <c r="E18" s="91" t="s">
        <v>279</v>
      </c>
      <c r="F18" s="91" t="s">
        <v>283</v>
      </c>
      <c r="G18" s="91" t="s">
        <v>10</v>
      </c>
    </row>
    <row r="19" spans="1:7" ht="49.5" customHeight="1">
      <c r="A19" s="131" t="s">
        <v>102</v>
      </c>
      <c r="B19" s="133" t="s">
        <v>103</v>
      </c>
      <c r="C19" s="133" t="s">
        <v>103</v>
      </c>
      <c r="D19" s="133" t="s">
        <v>104</v>
      </c>
      <c r="E19" s="89" t="s">
        <v>281</v>
      </c>
      <c r="F19" s="89" t="s">
        <v>284</v>
      </c>
      <c r="G19" s="90">
        <f>2384511000</f>
        <v>2384511000</v>
      </c>
    </row>
    <row r="20" spans="1:7" ht="49.5" customHeight="1">
      <c r="A20" s="131"/>
      <c r="B20" s="154"/>
      <c r="C20" s="154"/>
      <c r="D20" s="154"/>
      <c r="E20" s="89" t="s">
        <v>347</v>
      </c>
      <c r="F20" s="89" t="s">
        <v>284</v>
      </c>
      <c r="G20" s="90">
        <v>3627000000</v>
      </c>
    </row>
    <row r="21" spans="1:7" ht="49.5" customHeight="1">
      <c r="A21" s="131"/>
      <c r="B21" s="154"/>
      <c r="C21" s="154"/>
      <c r="D21" s="134"/>
      <c r="E21" s="13" t="s">
        <v>282</v>
      </c>
      <c r="F21" s="89" t="s">
        <v>284</v>
      </c>
      <c r="G21" s="214">
        <v>26748258</v>
      </c>
    </row>
    <row r="22" spans="1:7" ht="49.5" customHeight="1">
      <c r="A22" s="132"/>
      <c r="B22" s="134"/>
      <c r="C22" s="134"/>
      <c r="D22" s="89" t="s">
        <v>278</v>
      </c>
      <c r="E22" s="13" t="s">
        <v>282</v>
      </c>
      <c r="F22" s="89" t="s">
        <v>284</v>
      </c>
      <c r="G22" s="67">
        <v>96334742</v>
      </c>
    </row>
    <row r="23" spans="1:7" ht="13.5" customHeight="1">
      <c r="A23" s="132"/>
      <c r="B23" s="148" t="s">
        <v>21</v>
      </c>
      <c r="C23" s="149"/>
      <c r="D23" s="149"/>
      <c r="E23" s="149"/>
      <c r="F23" s="150"/>
      <c r="G23" s="84">
        <f>SUM(G19:G22)</f>
        <v>6134594000</v>
      </c>
    </row>
    <row r="24" spans="1:117" ht="13.5" customHeight="1" thickBot="1">
      <c r="A24" s="128" t="s">
        <v>27</v>
      </c>
      <c r="B24" s="129"/>
      <c r="C24" s="129"/>
      <c r="D24" s="129"/>
      <c r="E24" s="129"/>
      <c r="F24" s="130"/>
      <c r="G24" s="85">
        <f>+G23</f>
        <v>6134594000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17" ht="13.5" customHeight="1" thickTop="1">
      <c r="A25" s="6"/>
      <c r="B25" s="6"/>
      <c r="C25" s="6"/>
      <c r="D25" s="6"/>
      <c r="E25" s="6"/>
      <c r="F25" s="6" t="s">
        <v>28</v>
      </c>
      <c r="G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17" ht="13.5" customHeight="1">
      <c r="A26" s="127" t="s">
        <v>29</v>
      </c>
      <c r="B26" s="127"/>
      <c r="C26" s="127"/>
      <c r="D26" s="127"/>
      <c r="E26" s="6"/>
      <c r="F26" s="14" t="s">
        <v>30</v>
      </c>
      <c r="G26" s="15">
        <v>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17" ht="20.25" customHeight="1">
      <c r="A27" s="86" t="s">
        <v>31</v>
      </c>
      <c r="B27" s="145" t="s">
        <v>108</v>
      </c>
      <c r="C27" s="145"/>
      <c r="D27" s="145"/>
      <c r="E27" s="6"/>
      <c r="F27" s="14" t="s">
        <v>32</v>
      </c>
      <c r="G27" s="16">
        <v>44469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ht="20.25" customHeight="1">
      <c r="A28" s="87" t="s">
        <v>33</v>
      </c>
      <c r="B28" s="145" t="s">
        <v>107</v>
      </c>
      <c r="C28" s="145"/>
      <c r="D28" s="145"/>
      <c r="E28" s="6"/>
      <c r="F28" s="6"/>
      <c r="G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</sheetData>
  <sheetProtection selectLockedCells="1" selectUnlockedCells="1"/>
  <mergeCells count="23">
    <mergeCell ref="B27:D27"/>
    <mergeCell ref="B28:D28"/>
    <mergeCell ref="B13:C13"/>
    <mergeCell ref="B16:C16"/>
    <mergeCell ref="B15:C15"/>
    <mergeCell ref="B23:F23"/>
    <mergeCell ref="D19:D21"/>
    <mergeCell ref="F6:G6"/>
    <mergeCell ref="F7:G7"/>
    <mergeCell ref="B9:G9"/>
    <mergeCell ref="B10:G10"/>
    <mergeCell ref="B12:C12"/>
    <mergeCell ref="A1:A3"/>
    <mergeCell ref="B1:E3"/>
    <mergeCell ref="B5:G5"/>
    <mergeCell ref="B6:D6"/>
    <mergeCell ref="C8:D8"/>
    <mergeCell ref="E8:G8"/>
    <mergeCell ref="A26:D26"/>
    <mergeCell ref="A24:F24"/>
    <mergeCell ref="A19:A23"/>
    <mergeCell ref="B19:B22"/>
    <mergeCell ref="C19:C22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62" r:id="rId2"/>
  <ignoredErrors>
    <ignoredError sqref="B15:C15 D13 B13:C13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H25"/>
  <sheetViews>
    <sheetView view="pageBreakPreview" zoomScale="90" zoomScaleSheetLayoutView="90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8.57421875" style="1" customWidth="1"/>
    <col min="2" max="2" width="32.140625" style="1" customWidth="1"/>
    <col min="3" max="3" width="34.140625" style="1" customWidth="1"/>
    <col min="4" max="4" width="30.28125" style="1" customWidth="1"/>
    <col min="5" max="5" width="24.00390625" style="1" customWidth="1"/>
    <col min="6" max="6" width="35.28125" style="0" customWidth="1"/>
    <col min="7" max="7" width="20.00390625" style="1" customWidth="1"/>
    <col min="8" max="93" width="13.8515625" style="1" customWidth="1"/>
    <col min="94" max="112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2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ht="26.2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176</v>
      </c>
      <c r="G6" s="13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1:7" ht="25.5" customHeight="1">
      <c r="A7" s="7"/>
      <c r="B7" s="8"/>
      <c r="C7" s="8"/>
      <c r="D7" s="8"/>
      <c r="E7" s="82" t="s">
        <v>98</v>
      </c>
      <c r="F7" s="135" t="s">
        <v>250</v>
      </c>
      <c r="G7" s="136"/>
    </row>
    <row r="8" spans="1:7" ht="23.25" customHeight="1">
      <c r="A8" s="79" t="s">
        <v>6</v>
      </c>
      <c r="B8" s="9">
        <v>7887</v>
      </c>
      <c r="C8" s="144" t="s">
        <v>7</v>
      </c>
      <c r="D8" s="144"/>
      <c r="E8" s="199" t="s">
        <v>175</v>
      </c>
      <c r="F8" s="126"/>
      <c r="G8" s="126"/>
    </row>
    <row r="9" spans="1:7" ht="27.75" customHeight="1">
      <c r="A9" s="80" t="s">
        <v>8</v>
      </c>
      <c r="B9" s="137" t="s">
        <v>177</v>
      </c>
      <c r="C9" s="137"/>
      <c r="D9" s="137"/>
      <c r="E9" s="137"/>
      <c r="F9" s="137"/>
      <c r="G9" s="137"/>
    </row>
    <row r="10" spans="1:7" ht="45" customHeight="1">
      <c r="A10" s="81" t="s">
        <v>9</v>
      </c>
      <c r="B10" s="138" t="s">
        <v>178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332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+E17</f>
        <v>1-100-F001 -  VA Recursos del distrito </v>
      </c>
      <c r="C13" s="146"/>
      <c r="D13" s="62">
        <f>+G17+G19</f>
        <v>921300000</v>
      </c>
      <c r="E13" s="64"/>
      <c r="F13" s="12"/>
      <c r="G13" s="12"/>
    </row>
    <row r="14" spans="1:7" ht="13.5" customHeight="1">
      <c r="A14" s="10"/>
      <c r="B14" s="197" t="s">
        <v>11</v>
      </c>
      <c r="C14" s="198"/>
      <c r="D14" s="83">
        <f>SUM(D13:D13)</f>
        <v>921300000</v>
      </c>
      <c r="E14" s="12"/>
      <c r="F14" s="12"/>
      <c r="G14" s="12"/>
    </row>
    <row r="15" spans="1:7" ht="13.5" customHeight="1">
      <c r="A15" s="10"/>
      <c r="B15" s="10"/>
      <c r="C15" s="10"/>
      <c r="D15" s="10"/>
      <c r="E15" s="10"/>
      <c r="F15" s="10"/>
      <c r="G15" s="10"/>
    </row>
    <row r="16" spans="1:7" ht="51" customHeight="1">
      <c r="A16" s="91" t="s">
        <v>12</v>
      </c>
      <c r="B16" s="91" t="s">
        <v>13</v>
      </c>
      <c r="C16" s="91" t="s">
        <v>280</v>
      </c>
      <c r="D16" s="91" t="s">
        <v>14</v>
      </c>
      <c r="E16" s="91" t="s">
        <v>279</v>
      </c>
      <c r="F16" s="91" t="s">
        <v>283</v>
      </c>
      <c r="G16" s="91" t="s">
        <v>10</v>
      </c>
    </row>
    <row r="17" spans="1:7" ht="90" customHeight="1">
      <c r="A17" s="133" t="s">
        <v>180</v>
      </c>
      <c r="B17" s="64" t="s">
        <v>252</v>
      </c>
      <c r="C17" s="64" t="s">
        <v>334</v>
      </c>
      <c r="D17" s="89" t="s">
        <v>179</v>
      </c>
      <c r="E17" s="13" t="s">
        <v>282</v>
      </c>
      <c r="F17" s="89" t="s">
        <v>284</v>
      </c>
      <c r="G17" s="218">
        <v>285459112</v>
      </c>
    </row>
    <row r="18" spans="1:7" ht="18.75" customHeight="1">
      <c r="A18" s="200"/>
      <c r="B18" s="148" t="s">
        <v>21</v>
      </c>
      <c r="C18" s="149"/>
      <c r="D18" s="149"/>
      <c r="E18" s="149"/>
      <c r="F18" s="150"/>
      <c r="G18" s="92">
        <f>SUM(G17:G17)</f>
        <v>285459112</v>
      </c>
    </row>
    <row r="19" spans="1:7" ht="100.5" customHeight="1">
      <c r="A19" s="174" t="s">
        <v>252</v>
      </c>
      <c r="B19" s="104" t="s">
        <v>180</v>
      </c>
      <c r="C19" s="104" t="s">
        <v>333</v>
      </c>
      <c r="D19" s="104" t="s">
        <v>181</v>
      </c>
      <c r="E19" s="13" t="s">
        <v>282</v>
      </c>
      <c r="F19" s="89" t="s">
        <v>284</v>
      </c>
      <c r="G19" s="72">
        <v>635840888</v>
      </c>
    </row>
    <row r="20" spans="1:7" ht="13.5" customHeight="1">
      <c r="A20" s="200"/>
      <c r="B20" s="148" t="s">
        <v>21</v>
      </c>
      <c r="C20" s="149"/>
      <c r="D20" s="149"/>
      <c r="E20" s="149"/>
      <c r="F20" s="150"/>
      <c r="G20" s="84">
        <f>SUM(G19:G19)</f>
        <v>635840888</v>
      </c>
    </row>
    <row r="21" spans="1:112" ht="13.5" customHeight="1" thickBot="1">
      <c r="A21" s="128" t="s">
        <v>27</v>
      </c>
      <c r="B21" s="129"/>
      <c r="C21" s="129"/>
      <c r="D21" s="129"/>
      <c r="E21" s="129"/>
      <c r="F21" s="130"/>
      <c r="G21" s="92">
        <f>SUM(G20,G18)</f>
        <v>921300000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pans="1:112" ht="13.5" customHeight="1" thickTop="1">
      <c r="A22" s="6"/>
      <c r="B22" s="6"/>
      <c r="C22" s="6"/>
      <c r="D22" s="6"/>
      <c r="E22" s="6"/>
      <c r="F22" s="6" t="s">
        <v>28</v>
      </c>
      <c r="G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spans="1:112" ht="13.5" customHeight="1">
      <c r="A23" s="127" t="s">
        <v>29</v>
      </c>
      <c r="B23" s="127"/>
      <c r="C23" s="127"/>
      <c r="D23" s="127"/>
      <c r="E23" s="6"/>
      <c r="F23" s="14" t="s">
        <v>30</v>
      </c>
      <c r="G23" s="15">
        <v>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</row>
    <row r="24" spans="1:112" ht="18" customHeight="1">
      <c r="A24" s="86" t="s">
        <v>31</v>
      </c>
      <c r="B24" s="145" t="s">
        <v>298</v>
      </c>
      <c r="C24" s="145"/>
      <c r="D24" s="145"/>
      <c r="E24" s="6"/>
      <c r="F24" s="14" t="s">
        <v>32</v>
      </c>
      <c r="G24" s="16">
        <v>44469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</row>
    <row r="25" spans="1:112" ht="16.5" customHeight="1">
      <c r="A25" s="87" t="s">
        <v>33</v>
      </c>
      <c r="B25" s="145" t="s">
        <v>299</v>
      </c>
      <c r="C25" s="145"/>
      <c r="D25" s="145"/>
      <c r="E25" s="6"/>
      <c r="F25" s="6"/>
      <c r="G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</row>
    <row r="26" ht="3" customHeight="1" hidden="1"/>
  </sheetData>
  <sheetProtection selectLockedCells="1" selectUnlockedCells="1"/>
  <mergeCells count="21">
    <mergeCell ref="B10:G10"/>
    <mergeCell ref="E8:G8"/>
    <mergeCell ref="B13:C13"/>
    <mergeCell ref="B14:C14"/>
    <mergeCell ref="C8:D8"/>
    <mergeCell ref="B25:D25"/>
    <mergeCell ref="B18:F18"/>
    <mergeCell ref="B9:G9"/>
    <mergeCell ref="B20:F20"/>
    <mergeCell ref="A21:F21"/>
    <mergeCell ref="A17:A18"/>
    <mergeCell ref="B12:C12"/>
    <mergeCell ref="B24:D24"/>
    <mergeCell ref="A23:D23"/>
    <mergeCell ref="A19:A20"/>
    <mergeCell ref="A1:A3"/>
    <mergeCell ref="B1:E3"/>
    <mergeCell ref="B5:G5"/>
    <mergeCell ref="B6:D6"/>
    <mergeCell ref="F6:G6"/>
    <mergeCell ref="F7:G7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63" r:id="rId2"/>
  <ignoredErrors>
    <ignoredError sqref="B13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N27"/>
  <sheetViews>
    <sheetView view="pageBreakPreview" zoomScale="90" zoomScaleSheetLayoutView="90" zoomScalePageLayoutView="0" workbookViewId="0" topLeftCell="A11">
      <selection activeCell="D13" sqref="D13"/>
    </sheetView>
  </sheetViews>
  <sheetFormatPr defaultColWidth="13.7109375" defaultRowHeight="12.75" customHeight="1"/>
  <cols>
    <col min="1" max="1" width="25.8515625" style="1" customWidth="1"/>
    <col min="2" max="2" width="36.421875" style="1" customWidth="1"/>
    <col min="3" max="3" width="38.140625" style="1" customWidth="1"/>
    <col min="4" max="4" width="22.8515625" style="1" customWidth="1"/>
    <col min="5" max="5" width="29.140625" style="1" customWidth="1"/>
    <col min="6" max="6" width="36.7109375" style="0" customWidth="1"/>
    <col min="7" max="7" width="17.00390625" style="1" customWidth="1"/>
    <col min="8" max="99" width="13.8515625" style="1" customWidth="1"/>
    <col min="100" max="118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8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</row>
    <row r="6" spans="1:118" ht="26.25" customHeight="1">
      <c r="A6" s="78" t="s">
        <v>97</v>
      </c>
      <c r="B6" s="143" t="s">
        <v>185</v>
      </c>
      <c r="C6" s="143"/>
      <c r="D6" s="143"/>
      <c r="E6" s="82" t="s">
        <v>5</v>
      </c>
      <c r="F6" s="135" t="s">
        <v>176</v>
      </c>
      <c r="G6" s="13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</row>
    <row r="7" spans="1:7" ht="24" customHeight="1">
      <c r="A7" s="7"/>
      <c r="B7" s="8"/>
      <c r="C7" s="8"/>
      <c r="D7" s="8"/>
      <c r="E7" s="82" t="s">
        <v>98</v>
      </c>
      <c r="F7" s="135" t="s">
        <v>250</v>
      </c>
      <c r="G7" s="136"/>
    </row>
    <row r="8" spans="1:7" ht="23.25" customHeight="1">
      <c r="A8" s="79" t="s">
        <v>6</v>
      </c>
      <c r="B8" s="9">
        <v>7610</v>
      </c>
      <c r="C8" s="144" t="s">
        <v>7</v>
      </c>
      <c r="D8" s="144"/>
      <c r="E8" s="199" t="s">
        <v>184</v>
      </c>
      <c r="F8" s="126"/>
      <c r="G8" s="126"/>
    </row>
    <row r="9" spans="1:7" ht="27.75" customHeight="1">
      <c r="A9" s="80" t="s">
        <v>8</v>
      </c>
      <c r="B9" s="137" t="s">
        <v>186</v>
      </c>
      <c r="C9" s="137"/>
      <c r="D9" s="137"/>
      <c r="E9" s="137"/>
      <c r="F9" s="137"/>
      <c r="G9" s="137"/>
    </row>
    <row r="10" spans="1:7" ht="39" customHeight="1">
      <c r="A10" s="81" t="s">
        <v>9</v>
      </c>
      <c r="B10" s="138" t="s">
        <v>254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332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+E18</f>
        <v>1-100-F001 -  VA Recursos del distrito </v>
      </c>
      <c r="C13" s="146"/>
      <c r="D13" s="62">
        <f>+G18+G20</f>
        <v>503000000</v>
      </c>
      <c r="E13" s="12"/>
      <c r="F13" s="12"/>
      <c r="G13" s="12"/>
    </row>
    <row r="14" spans="1:7" ht="17.25" customHeight="1">
      <c r="A14" s="10"/>
      <c r="B14" s="71" t="s">
        <v>289</v>
      </c>
      <c r="C14" s="70"/>
      <c r="D14" s="62">
        <f>+G21</f>
        <v>100000000</v>
      </c>
      <c r="E14" s="12"/>
      <c r="F14" s="12"/>
      <c r="G14" s="12"/>
    </row>
    <row r="15" spans="1:7" ht="13.5" customHeight="1">
      <c r="A15" s="10"/>
      <c r="B15" s="197" t="s">
        <v>11</v>
      </c>
      <c r="C15" s="198"/>
      <c r="D15" s="83">
        <f>SUM(D13:D14)</f>
        <v>603000000</v>
      </c>
      <c r="E15" s="12"/>
      <c r="F15" s="12"/>
      <c r="G15" s="12"/>
    </row>
    <row r="16" spans="1:7" ht="13.5" customHeight="1">
      <c r="A16" s="10"/>
      <c r="B16" s="10"/>
      <c r="C16" s="10"/>
      <c r="D16" s="10"/>
      <c r="E16" s="10"/>
      <c r="F16" s="10"/>
      <c r="G16" s="10"/>
    </row>
    <row r="17" spans="1:7" ht="51" customHeight="1">
      <c r="A17" s="91" t="s">
        <v>12</v>
      </c>
      <c r="B17" s="91" t="s">
        <v>13</v>
      </c>
      <c r="C17" s="91" t="s">
        <v>280</v>
      </c>
      <c r="D17" s="91" t="s">
        <v>14</v>
      </c>
      <c r="E17" s="91" t="s">
        <v>279</v>
      </c>
      <c r="F17" s="91" t="s">
        <v>283</v>
      </c>
      <c r="G17" s="91" t="s">
        <v>10</v>
      </c>
    </row>
    <row r="18" spans="1:7" ht="105" customHeight="1">
      <c r="A18" s="154" t="s">
        <v>253</v>
      </c>
      <c r="B18" s="64" t="s">
        <v>182</v>
      </c>
      <c r="C18" s="64" t="s">
        <v>182</v>
      </c>
      <c r="D18" s="89" t="s">
        <v>183</v>
      </c>
      <c r="E18" s="13" t="s">
        <v>282</v>
      </c>
      <c r="F18" s="89" t="s">
        <v>284</v>
      </c>
      <c r="G18" s="94">
        <v>237083326</v>
      </c>
    </row>
    <row r="19" spans="1:7" ht="18.75" customHeight="1">
      <c r="A19" s="154"/>
      <c r="B19" s="155" t="s">
        <v>21</v>
      </c>
      <c r="C19" s="156"/>
      <c r="D19" s="156"/>
      <c r="E19" s="156"/>
      <c r="F19" s="157"/>
      <c r="G19" s="95">
        <f>SUM(G18:G18)</f>
        <v>237083326</v>
      </c>
    </row>
    <row r="20" spans="1:7" ht="74.25" customHeight="1">
      <c r="A20" s="154"/>
      <c r="B20" s="219" t="s">
        <v>187</v>
      </c>
      <c r="C20" s="163" t="s">
        <v>335</v>
      </c>
      <c r="D20" s="169" t="s">
        <v>188</v>
      </c>
      <c r="E20" s="13" t="s">
        <v>282</v>
      </c>
      <c r="F20" s="89" t="s">
        <v>284</v>
      </c>
      <c r="G20" s="114">
        <v>265916674</v>
      </c>
    </row>
    <row r="21" spans="1:7" ht="74.25" customHeight="1">
      <c r="A21" s="154"/>
      <c r="B21" s="220"/>
      <c r="C21" s="164"/>
      <c r="D21" s="168"/>
      <c r="E21" s="111" t="s">
        <v>289</v>
      </c>
      <c r="F21" s="89" t="s">
        <v>284</v>
      </c>
      <c r="G21" s="114">
        <v>100000000</v>
      </c>
    </row>
    <row r="22" spans="1:7" ht="13.5" customHeight="1">
      <c r="A22" s="200"/>
      <c r="B22" s="148" t="s">
        <v>21</v>
      </c>
      <c r="C22" s="149"/>
      <c r="D22" s="149"/>
      <c r="E22" s="149"/>
      <c r="F22" s="150"/>
      <c r="G22" s="84">
        <f>SUM(G20:G21)</f>
        <v>365916674</v>
      </c>
    </row>
    <row r="23" spans="1:118" ht="13.5" customHeight="1" thickBot="1">
      <c r="A23" s="128" t="s">
        <v>27</v>
      </c>
      <c r="B23" s="129"/>
      <c r="C23" s="129"/>
      <c r="D23" s="129"/>
      <c r="E23" s="129"/>
      <c r="F23" s="130"/>
      <c r="G23" s="85">
        <f>SUM(G22,G19)</f>
        <v>603000000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spans="1:118" ht="13.5" customHeight="1" thickTop="1">
      <c r="A24" s="6"/>
      <c r="B24" s="6"/>
      <c r="C24" s="6"/>
      <c r="D24" s="6"/>
      <c r="E24" s="6"/>
      <c r="F24" s="6" t="s">
        <v>28</v>
      </c>
      <c r="G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spans="1:118" ht="13.5" customHeight="1">
      <c r="A25" s="127" t="s">
        <v>29</v>
      </c>
      <c r="B25" s="127"/>
      <c r="C25" s="127"/>
      <c r="D25" s="127"/>
      <c r="E25" s="6"/>
      <c r="F25" s="14" t="s">
        <v>30</v>
      </c>
      <c r="G25" s="15">
        <v>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spans="1:118" ht="18" customHeight="1">
      <c r="A26" s="86" t="s">
        <v>31</v>
      </c>
      <c r="B26" s="145" t="s">
        <v>301</v>
      </c>
      <c r="C26" s="145"/>
      <c r="D26" s="145"/>
      <c r="E26" s="6"/>
      <c r="F26" s="14" t="s">
        <v>32</v>
      </c>
      <c r="G26" s="16">
        <v>44469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spans="1:118" ht="18" customHeight="1">
      <c r="A27" s="87" t="s">
        <v>33</v>
      </c>
      <c r="B27" s="145" t="s">
        <v>302</v>
      </c>
      <c r="C27" s="145"/>
      <c r="D27" s="145"/>
      <c r="E27" s="6"/>
      <c r="F27" s="6"/>
      <c r="G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</sheetData>
  <sheetProtection selectLockedCells="1" selectUnlockedCells="1"/>
  <mergeCells count="23">
    <mergeCell ref="D20:D21"/>
    <mergeCell ref="A1:A3"/>
    <mergeCell ref="B1:E3"/>
    <mergeCell ref="B5:G5"/>
    <mergeCell ref="B6:D6"/>
    <mergeCell ref="F6:G6"/>
    <mergeCell ref="F7:G7"/>
    <mergeCell ref="B13:C13"/>
    <mergeCell ref="B9:G9"/>
    <mergeCell ref="C8:D8"/>
    <mergeCell ref="E8:G8"/>
    <mergeCell ref="B10:G10"/>
    <mergeCell ref="B12:C12"/>
    <mergeCell ref="A18:A22"/>
    <mergeCell ref="A23:F23"/>
    <mergeCell ref="A25:D25"/>
    <mergeCell ref="B26:D26"/>
    <mergeCell ref="B27:D27"/>
    <mergeCell ref="B15:C15"/>
    <mergeCell ref="B19:F19"/>
    <mergeCell ref="B22:F22"/>
    <mergeCell ref="B20:B21"/>
    <mergeCell ref="C20:C21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63" r:id="rId2"/>
  <ignoredErrors>
    <ignoredError sqref="B13 D13:D14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G27"/>
  <sheetViews>
    <sheetView view="pageBreakPreview" zoomScale="90" zoomScaleSheetLayoutView="90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8.7109375" style="1" customWidth="1"/>
    <col min="2" max="2" width="33.140625" style="1" customWidth="1"/>
    <col min="3" max="3" width="37.00390625" style="1" customWidth="1"/>
    <col min="4" max="4" width="24.00390625" style="1" customWidth="1"/>
    <col min="5" max="5" width="23.57421875" style="1" customWidth="1"/>
    <col min="6" max="6" width="42.140625" style="0" customWidth="1"/>
    <col min="7" max="7" width="17.00390625" style="1" customWidth="1"/>
    <col min="8" max="92" width="13.8515625" style="1" customWidth="1"/>
    <col min="93" max="111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1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</row>
    <row r="6" spans="1:111" ht="26.25" customHeight="1">
      <c r="A6" s="78" t="s">
        <v>97</v>
      </c>
      <c r="B6" s="143" t="s">
        <v>195</v>
      </c>
      <c r="C6" s="143"/>
      <c r="D6" s="143"/>
      <c r="E6" s="82" t="s">
        <v>5</v>
      </c>
      <c r="F6" s="135" t="s">
        <v>196</v>
      </c>
      <c r="G6" s="13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</row>
    <row r="7" spans="1:7" ht="24.75" customHeight="1">
      <c r="A7" s="7"/>
      <c r="B7" s="8"/>
      <c r="C7" s="8"/>
      <c r="D7" s="8"/>
      <c r="E7" s="82" t="s">
        <v>98</v>
      </c>
      <c r="F7" s="135" t="s">
        <v>255</v>
      </c>
      <c r="G7" s="136"/>
    </row>
    <row r="8" spans="1:7" ht="23.25" customHeight="1">
      <c r="A8" s="79" t="s">
        <v>6</v>
      </c>
      <c r="B8" s="9">
        <v>7879</v>
      </c>
      <c r="C8" s="144" t="s">
        <v>7</v>
      </c>
      <c r="D8" s="144"/>
      <c r="E8" s="199" t="s">
        <v>197</v>
      </c>
      <c r="F8" s="126"/>
      <c r="G8" s="126"/>
    </row>
    <row r="9" spans="1:7" ht="47.25" customHeight="1">
      <c r="A9" s="80" t="s">
        <v>8</v>
      </c>
      <c r="B9" s="137" t="s">
        <v>336</v>
      </c>
      <c r="C9" s="137"/>
      <c r="D9" s="137"/>
      <c r="E9" s="137"/>
      <c r="F9" s="137"/>
      <c r="G9" s="137"/>
    </row>
    <row r="10" spans="1:7" ht="97.5" customHeight="1">
      <c r="A10" s="81" t="s">
        <v>9</v>
      </c>
      <c r="B10" s="138" t="s">
        <v>256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+E17</f>
        <v>1-100-F001 -  VA Recursos del distrito </v>
      </c>
      <c r="C13" s="146"/>
      <c r="D13" s="62">
        <f>+G17+G19+G21</f>
        <v>9197664000</v>
      </c>
      <c r="E13" s="12"/>
      <c r="F13" s="12"/>
      <c r="G13" s="12"/>
    </row>
    <row r="14" spans="1:7" ht="13.5" customHeight="1">
      <c r="A14" s="10"/>
      <c r="B14" s="147" t="s">
        <v>11</v>
      </c>
      <c r="C14" s="147"/>
      <c r="D14" s="83">
        <f>SUM(D13:D13)</f>
        <v>9197664000</v>
      </c>
      <c r="E14" s="12"/>
      <c r="F14" s="12"/>
      <c r="G14" s="12"/>
    </row>
    <row r="15" spans="1:7" ht="13.5" customHeight="1">
      <c r="A15" s="10"/>
      <c r="B15" s="10"/>
      <c r="C15" s="10"/>
      <c r="D15" s="10"/>
      <c r="E15" s="10"/>
      <c r="F15" s="10"/>
      <c r="G15" s="10"/>
    </row>
    <row r="16" spans="1:7" ht="51" customHeight="1">
      <c r="A16" s="91" t="s">
        <v>12</v>
      </c>
      <c r="B16" s="91" t="s">
        <v>13</v>
      </c>
      <c r="C16" s="91" t="s">
        <v>280</v>
      </c>
      <c r="D16" s="91" t="s">
        <v>14</v>
      </c>
      <c r="E16" s="91" t="s">
        <v>279</v>
      </c>
      <c r="F16" s="91" t="s">
        <v>283</v>
      </c>
      <c r="G16" s="91" t="s">
        <v>10</v>
      </c>
    </row>
    <row r="17" spans="1:7" ht="129.75" customHeight="1">
      <c r="A17" s="201" t="s">
        <v>257</v>
      </c>
      <c r="B17" s="93" t="s">
        <v>189</v>
      </c>
      <c r="C17" s="93" t="s">
        <v>189</v>
      </c>
      <c r="D17" s="89" t="s">
        <v>190</v>
      </c>
      <c r="E17" s="13" t="s">
        <v>282</v>
      </c>
      <c r="F17" s="89" t="s">
        <v>284</v>
      </c>
      <c r="G17" s="90">
        <v>42750000</v>
      </c>
    </row>
    <row r="18" spans="1:7" ht="18.75" customHeight="1">
      <c r="A18" s="202"/>
      <c r="B18" s="148" t="s">
        <v>21</v>
      </c>
      <c r="C18" s="149"/>
      <c r="D18" s="149"/>
      <c r="E18" s="149"/>
      <c r="F18" s="150"/>
      <c r="G18" s="92">
        <f>SUM(G17:G17)</f>
        <v>42750000</v>
      </c>
    </row>
    <row r="19" spans="1:7" ht="87" customHeight="1">
      <c r="A19" s="151" t="s">
        <v>258</v>
      </c>
      <c r="B19" s="104" t="s">
        <v>191</v>
      </c>
      <c r="C19" s="104" t="s">
        <v>338</v>
      </c>
      <c r="D19" s="104" t="s">
        <v>192</v>
      </c>
      <c r="E19" s="13" t="s">
        <v>282</v>
      </c>
      <c r="F19" s="89" t="s">
        <v>284</v>
      </c>
      <c r="G19" s="90">
        <v>7171417625</v>
      </c>
    </row>
    <row r="20" spans="1:7" ht="18.75" customHeight="1">
      <c r="A20" s="203"/>
      <c r="B20" s="148" t="s">
        <v>21</v>
      </c>
      <c r="C20" s="149"/>
      <c r="D20" s="149"/>
      <c r="E20" s="149"/>
      <c r="F20" s="150"/>
      <c r="G20" s="92">
        <f>SUM(G19:G19)</f>
        <v>7171417625</v>
      </c>
    </row>
    <row r="21" spans="1:7" ht="79.5" customHeight="1">
      <c r="A21" s="151" t="s">
        <v>259</v>
      </c>
      <c r="B21" s="104" t="s">
        <v>193</v>
      </c>
      <c r="C21" s="104" t="s">
        <v>193</v>
      </c>
      <c r="D21" s="104" t="s">
        <v>194</v>
      </c>
      <c r="E21" s="13" t="s">
        <v>282</v>
      </c>
      <c r="F21" s="89" t="s">
        <v>284</v>
      </c>
      <c r="G21" s="67">
        <v>1983496375</v>
      </c>
    </row>
    <row r="22" spans="1:7" ht="13.5" customHeight="1">
      <c r="A22" s="171"/>
      <c r="B22" s="148" t="s">
        <v>21</v>
      </c>
      <c r="C22" s="149"/>
      <c r="D22" s="149"/>
      <c r="E22" s="149"/>
      <c r="F22" s="150"/>
      <c r="G22" s="84">
        <f>SUM(G21:G21)</f>
        <v>1983496375</v>
      </c>
    </row>
    <row r="23" spans="1:111" ht="13.5" customHeight="1" thickBot="1">
      <c r="A23" s="128" t="s">
        <v>27</v>
      </c>
      <c r="B23" s="129"/>
      <c r="C23" s="129"/>
      <c r="D23" s="129"/>
      <c r="E23" s="129"/>
      <c r="F23" s="130"/>
      <c r="G23" s="85">
        <f>SUM(G22,G20,G18)</f>
        <v>9197664000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</row>
    <row r="24" spans="1:111" ht="13.5" customHeight="1" thickTop="1">
      <c r="A24" s="6"/>
      <c r="B24" s="6"/>
      <c r="C24" s="6"/>
      <c r="D24" s="6"/>
      <c r="E24" s="6"/>
      <c r="F24" s="6" t="s">
        <v>28</v>
      </c>
      <c r="G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</row>
    <row r="25" spans="1:111" ht="13.5" customHeight="1">
      <c r="A25" s="127" t="s">
        <v>29</v>
      </c>
      <c r="B25" s="127"/>
      <c r="C25" s="127"/>
      <c r="D25" s="127"/>
      <c r="E25" s="6"/>
      <c r="F25" s="14" t="s">
        <v>30</v>
      </c>
      <c r="G25" s="15">
        <v>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</row>
    <row r="26" spans="1:111" ht="18" customHeight="1">
      <c r="A26" s="86" t="s">
        <v>31</v>
      </c>
      <c r="B26" s="145" t="s">
        <v>337</v>
      </c>
      <c r="C26" s="145"/>
      <c r="D26" s="145"/>
      <c r="E26" s="6"/>
      <c r="F26" s="14" t="s">
        <v>32</v>
      </c>
      <c r="G26" s="16">
        <v>44469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</row>
    <row r="27" spans="1:111" ht="18" customHeight="1">
      <c r="A27" s="87" t="s">
        <v>33</v>
      </c>
      <c r="B27" s="145" t="s">
        <v>198</v>
      </c>
      <c r="C27" s="145"/>
      <c r="D27" s="145"/>
      <c r="E27" s="6"/>
      <c r="F27" s="6"/>
      <c r="G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</sheetData>
  <sheetProtection selectLockedCells="1" selectUnlockedCells="1"/>
  <mergeCells count="23">
    <mergeCell ref="C8:D8"/>
    <mergeCell ref="E8:G8"/>
    <mergeCell ref="B9:G9"/>
    <mergeCell ref="A23:F23"/>
    <mergeCell ref="A25:D25"/>
    <mergeCell ref="B26:D26"/>
    <mergeCell ref="A1:A3"/>
    <mergeCell ref="B1:E3"/>
    <mergeCell ref="B5:G5"/>
    <mergeCell ref="B6:D6"/>
    <mergeCell ref="F6:G6"/>
    <mergeCell ref="B13:C13"/>
    <mergeCell ref="F7:G7"/>
    <mergeCell ref="B14:C14"/>
    <mergeCell ref="B10:G10"/>
    <mergeCell ref="B12:C12"/>
    <mergeCell ref="B27:D27"/>
    <mergeCell ref="A17:A18"/>
    <mergeCell ref="A19:A20"/>
    <mergeCell ref="A21:A22"/>
    <mergeCell ref="B20:F20"/>
    <mergeCell ref="B22:F22"/>
    <mergeCell ref="B18:F18"/>
  </mergeCells>
  <printOptions/>
  <pageMargins left="0.5902777777777778" right="0.19652777777777777" top="0.7875" bottom="0.39375" header="0.5118055555555555" footer="0.5118055555555555"/>
  <pageSetup fitToHeight="1" fitToWidth="1" horizontalDpi="600" verticalDpi="600" orientation="landscape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L35"/>
  <sheetViews>
    <sheetView view="pageBreakPreview" zoomScale="90" zoomScaleSheetLayoutView="90" zoomScalePageLayoutView="0" workbookViewId="0" topLeftCell="A1">
      <selection activeCell="A1" sqref="A1:A3"/>
    </sheetView>
  </sheetViews>
  <sheetFormatPr defaultColWidth="13.7109375" defaultRowHeight="12.75"/>
  <cols>
    <col min="1" max="1" width="25.8515625" style="1" customWidth="1"/>
    <col min="2" max="2" width="37.28125" style="1" customWidth="1"/>
    <col min="3" max="3" width="40.00390625" style="1" customWidth="1"/>
    <col min="4" max="4" width="27.28125" style="1" customWidth="1"/>
    <col min="5" max="5" width="24.00390625" style="1" customWidth="1"/>
    <col min="6" max="6" width="38.57421875" style="0" customWidth="1"/>
    <col min="7" max="7" width="17.00390625" style="1" customWidth="1"/>
    <col min="8" max="71" width="13.8515625" style="1" customWidth="1"/>
    <col min="72" max="90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90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26.25" customHeight="1">
      <c r="A6" s="78" t="s">
        <v>97</v>
      </c>
      <c r="B6" s="143" t="s">
        <v>208</v>
      </c>
      <c r="C6" s="143"/>
      <c r="D6" s="143"/>
      <c r="E6" s="82" t="s">
        <v>5</v>
      </c>
      <c r="F6" s="135" t="s">
        <v>209</v>
      </c>
      <c r="G6" s="13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7" ht="25.5" customHeight="1">
      <c r="A7" s="7"/>
      <c r="B7" s="8"/>
      <c r="C7" s="8"/>
      <c r="D7" s="8"/>
      <c r="E7" s="82" t="s">
        <v>98</v>
      </c>
      <c r="F7" s="135" t="s">
        <v>255</v>
      </c>
      <c r="G7" s="136"/>
    </row>
    <row r="8" spans="1:7" ht="33" customHeight="1">
      <c r="A8" s="79" t="s">
        <v>6</v>
      </c>
      <c r="B8" s="9">
        <v>7646</v>
      </c>
      <c r="C8" s="144" t="s">
        <v>7</v>
      </c>
      <c r="D8" s="144"/>
      <c r="E8" s="199" t="s">
        <v>205</v>
      </c>
      <c r="F8" s="126"/>
      <c r="G8" s="126"/>
    </row>
    <row r="9" spans="1:7" ht="42" customHeight="1">
      <c r="A9" s="80" t="s">
        <v>8</v>
      </c>
      <c r="B9" s="137" t="s">
        <v>206</v>
      </c>
      <c r="C9" s="137"/>
      <c r="D9" s="137"/>
      <c r="E9" s="137"/>
      <c r="F9" s="137"/>
      <c r="G9" s="137"/>
    </row>
    <row r="10" spans="1:7" ht="148.5" customHeight="1">
      <c r="A10" s="81" t="s">
        <v>9</v>
      </c>
      <c r="B10" s="138" t="s">
        <v>207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+E17</f>
        <v>1-100-F001 -  VA Recursos del distrito </v>
      </c>
      <c r="C13" s="146"/>
      <c r="D13" s="62">
        <f>+G17+G19+G21+G23+G25+G27+G29</f>
        <v>5855660000</v>
      </c>
      <c r="E13" s="12"/>
      <c r="F13" s="12"/>
      <c r="G13" s="12"/>
    </row>
    <row r="14" spans="1:7" ht="13.5" customHeight="1">
      <c r="A14" s="10"/>
      <c r="B14" s="147" t="s">
        <v>11</v>
      </c>
      <c r="C14" s="147"/>
      <c r="D14" s="83">
        <f>SUM(D13:D13)</f>
        <v>5855660000</v>
      </c>
      <c r="E14" s="12"/>
      <c r="F14" s="12"/>
      <c r="G14" s="12"/>
    </row>
    <row r="15" spans="1:7" ht="13.5" customHeight="1">
      <c r="A15" s="10"/>
      <c r="B15" s="10"/>
      <c r="C15" s="10"/>
      <c r="D15" s="10"/>
      <c r="E15" s="10"/>
      <c r="F15" s="10"/>
      <c r="G15" s="10"/>
    </row>
    <row r="16" spans="1:7" ht="51" customHeight="1">
      <c r="A16" s="91" t="s">
        <v>12</v>
      </c>
      <c r="B16" s="91" t="s">
        <v>13</v>
      </c>
      <c r="C16" s="91" t="s">
        <v>280</v>
      </c>
      <c r="D16" s="91" t="s">
        <v>14</v>
      </c>
      <c r="E16" s="91" t="s">
        <v>279</v>
      </c>
      <c r="F16" s="91" t="s">
        <v>283</v>
      </c>
      <c r="G16" s="91" t="s">
        <v>10</v>
      </c>
    </row>
    <row r="17" spans="1:7" ht="34.5" customHeight="1">
      <c r="A17" s="170" t="s">
        <v>262</v>
      </c>
      <c r="B17" s="102" t="s">
        <v>210</v>
      </c>
      <c r="C17" s="102" t="s">
        <v>344</v>
      </c>
      <c r="D17" s="102" t="s">
        <v>211</v>
      </c>
      <c r="E17" s="13" t="s">
        <v>282</v>
      </c>
      <c r="F17" s="89" t="s">
        <v>284</v>
      </c>
      <c r="G17" s="121">
        <v>1926974</v>
      </c>
    </row>
    <row r="18" spans="1:7" ht="13.5">
      <c r="A18" s="151"/>
      <c r="B18" s="148" t="s">
        <v>21</v>
      </c>
      <c r="C18" s="149"/>
      <c r="D18" s="149"/>
      <c r="E18" s="149"/>
      <c r="F18" s="150"/>
      <c r="G18" s="92">
        <f>SUM(G17:G17)</f>
        <v>1926974</v>
      </c>
    </row>
    <row r="19" spans="1:7" ht="83.25" customHeight="1">
      <c r="A19" s="151"/>
      <c r="B19" s="108" t="s">
        <v>212</v>
      </c>
      <c r="C19" s="108" t="s">
        <v>266</v>
      </c>
      <c r="D19" s="108" t="s">
        <v>213</v>
      </c>
      <c r="E19" s="13" t="s">
        <v>282</v>
      </c>
      <c r="F19" s="89" t="s">
        <v>284</v>
      </c>
      <c r="G19" s="122">
        <v>1522185805</v>
      </c>
    </row>
    <row r="20" spans="1:7" ht="18.75" customHeight="1">
      <c r="A20" s="151"/>
      <c r="B20" s="148" t="s">
        <v>21</v>
      </c>
      <c r="C20" s="149"/>
      <c r="D20" s="149"/>
      <c r="E20" s="149"/>
      <c r="F20" s="150"/>
      <c r="G20" s="92">
        <f>SUM(G19:G19)</f>
        <v>1522185805</v>
      </c>
    </row>
    <row r="21" spans="1:7" ht="88.5" customHeight="1">
      <c r="A21" s="151"/>
      <c r="B21" s="106" t="s">
        <v>214</v>
      </c>
      <c r="C21" s="107" t="s">
        <v>267</v>
      </c>
      <c r="D21" s="104" t="s">
        <v>215</v>
      </c>
      <c r="E21" s="13" t="s">
        <v>282</v>
      </c>
      <c r="F21" s="89" t="s">
        <v>284</v>
      </c>
      <c r="G21" s="122">
        <v>1009921832</v>
      </c>
    </row>
    <row r="22" spans="1:7" ht="13.5" customHeight="1">
      <c r="A22" s="151"/>
      <c r="B22" s="148" t="s">
        <v>21</v>
      </c>
      <c r="C22" s="149"/>
      <c r="D22" s="149"/>
      <c r="E22" s="149"/>
      <c r="F22" s="150"/>
      <c r="G22" s="84">
        <f>SUM(G21:G21)</f>
        <v>1009921832</v>
      </c>
    </row>
    <row r="23" spans="1:7" ht="40.5">
      <c r="A23" s="151"/>
      <c r="B23" s="64" t="s">
        <v>223</v>
      </c>
      <c r="C23" s="64" t="s">
        <v>268</v>
      </c>
      <c r="D23" s="13" t="s">
        <v>216</v>
      </c>
      <c r="E23" s="13" t="s">
        <v>282</v>
      </c>
      <c r="F23" s="89" t="s">
        <v>284</v>
      </c>
      <c r="G23" s="122">
        <v>1478186481</v>
      </c>
    </row>
    <row r="24" spans="1:7" ht="13.5" customHeight="1">
      <c r="A24" s="151"/>
      <c r="B24" s="148" t="s">
        <v>21</v>
      </c>
      <c r="C24" s="149"/>
      <c r="D24" s="149"/>
      <c r="E24" s="149"/>
      <c r="F24" s="150"/>
      <c r="G24" s="84">
        <f>+G23</f>
        <v>1478186481</v>
      </c>
    </row>
    <row r="25" spans="1:7" ht="53.25" customHeight="1">
      <c r="A25" s="151"/>
      <c r="B25" s="64" t="s">
        <v>217</v>
      </c>
      <c r="C25" s="64" t="s">
        <v>269</v>
      </c>
      <c r="D25" s="13" t="s">
        <v>218</v>
      </c>
      <c r="E25" s="13" t="s">
        <v>282</v>
      </c>
      <c r="F25" s="89" t="s">
        <v>284</v>
      </c>
      <c r="G25" s="67">
        <v>455160228</v>
      </c>
    </row>
    <row r="26" spans="1:7" ht="13.5" customHeight="1">
      <c r="A26" s="151"/>
      <c r="B26" s="148" t="s">
        <v>21</v>
      </c>
      <c r="C26" s="149"/>
      <c r="D26" s="149"/>
      <c r="E26" s="149"/>
      <c r="F26" s="150"/>
      <c r="G26" s="84">
        <f>+G25</f>
        <v>455160228</v>
      </c>
    </row>
    <row r="27" spans="1:7" ht="68.25" customHeight="1">
      <c r="A27" s="151"/>
      <c r="B27" s="93" t="s">
        <v>219</v>
      </c>
      <c r="C27" s="97" t="s">
        <v>270</v>
      </c>
      <c r="D27" s="13" t="s">
        <v>220</v>
      </c>
      <c r="E27" s="13" t="s">
        <v>282</v>
      </c>
      <c r="F27" s="89" t="s">
        <v>284</v>
      </c>
      <c r="G27" s="67">
        <v>165280680</v>
      </c>
    </row>
    <row r="28" spans="1:7" ht="13.5" customHeight="1">
      <c r="A28" s="152"/>
      <c r="B28" s="148" t="s">
        <v>21</v>
      </c>
      <c r="C28" s="149"/>
      <c r="D28" s="149"/>
      <c r="E28" s="149"/>
      <c r="F28" s="150"/>
      <c r="G28" s="84">
        <f>+G27</f>
        <v>165280680</v>
      </c>
    </row>
    <row r="29" spans="1:7" ht="74.25" customHeight="1">
      <c r="A29" s="153" t="s">
        <v>263</v>
      </c>
      <c r="B29" s="93" t="s">
        <v>221</v>
      </c>
      <c r="C29" s="97" t="s">
        <v>271</v>
      </c>
      <c r="D29" s="13" t="s">
        <v>222</v>
      </c>
      <c r="E29" s="13" t="s">
        <v>282</v>
      </c>
      <c r="F29" s="89" t="s">
        <v>284</v>
      </c>
      <c r="G29" s="67">
        <v>1222998000</v>
      </c>
    </row>
    <row r="30" spans="1:7" ht="13.5" customHeight="1">
      <c r="A30" s="171"/>
      <c r="B30" s="148" t="s">
        <v>21</v>
      </c>
      <c r="C30" s="149"/>
      <c r="D30" s="149"/>
      <c r="E30" s="149"/>
      <c r="F30" s="150"/>
      <c r="G30" s="84">
        <f>+G29</f>
        <v>1222998000</v>
      </c>
    </row>
    <row r="31" spans="1:90" ht="13.5" customHeight="1" thickBot="1">
      <c r="A31" s="128" t="s">
        <v>27</v>
      </c>
      <c r="B31" s="129"/>
      <c r="C31" s="129"/>
      <c r="D31" s="129"/>
      <c r="E31" s="129"/>
      <c r="F31" s="130"/>
      <c r="G31" s="85">
        <f>+G18+G20+G22+G24+G26+G30+G28</f>
        <v>5855660000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</row>
    <row r="32" spans="1:90" ht="13.5" customHeight="1" thickTop="1">
      <c r="A32" s="6"/>
      <c r="B32" s="6"/>
      <c r="C32" s="6"/>
      <c r="D32" s="6"/>
      <c r="E32" s="6"/>
      <c r="F32" s="6" t="s">
        <v>28</v>
      </c>
      <c r="G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</row>
    <row r="33" spans="1:90" ht="13.5" customHeight="1">
      <c r="A33" s="127" t="s">
        <v>29</v>
      </c>
      <c r="B33" s="127"/>
      <c r="C33" s="127"/>
      <c r="D33" s="127"/>
      <c r="E33" s="6"/>
      <c r="F33" s="14" t="s">
        <v>30</v>
      </c>
      <c r="G33" s="15">
        <v>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</row>
    <row r="34" spans="1:90" ht="18" customHeight="1">
      <c r="A34" s="86" t="s">
        <v>31</v>
      </c>
      <c r="B34" s="145" t="s">
        <v>261</v>
      </c>
      <c r="C34" s="145"/>
      <c r="D34" s="145"/>
      <c r="E34" s="6"/>
      <c r="F34" s="14" t="s">
        <v>32</v>
      </c>
      <c r="G34" s="16">
        <v>44469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</row>
    <row r="35" spans="1:90" ht="18" customHeight="1">
      <c r="A35" s="87" t="s">
        <v>33</v>
      </c>
      <c r="B35" s="145" t="s">
        <v>260</v>
      </c>
      <c r="C35" s="145"/>
      <c r="D35" s="145"/>
      <c r="E35" s="6"/>
      <c r="F35" s="6"/>
      <c r="G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</row>
  </sheetData>
  <sheetProtection/>
  <mergeCells count="26">
    <mergeCell ref="C8:D8"/>
    <mergeCell ref="E8:G8"/>
    <mergeCell ref="B9:G9"/>
    <mergeCell ref="A1:A3"/>
    <mergeCell ref="B1:E3"/>
    <mergeCell ref="B5:G5"/>
    <mergeCell ref="B6:D6"/>
    <mergeCell ref="F6:G6"/>
    <mergeCell ref="F7:G7"/>
    <mergeCell ref="A29:A30"/>
    <mergeCell ref="B10:G10"/>
    <mergeCell ref="B12:C12"/>
    <mergeCell ref="B13:C13"/>
    <mergeCell ref="B14:C14"/>
    <mergeCell ref="B18:F18"/>
    <mergeCell ref="B20:F20"/>
    <mergeCell ref="B34:D34"/>
    <mergeCell ref="B35:D35"/>
    <mergeCell ref="B22:F22"/>
    <mergeCell ref="B24:F24"/>
    <mergeCell ref="B28:F28"/>
    <mergeCell ref="B26:F26"/>
    <mergeCell ref="A31:F31"/>
    <mergeCell ref="A33:D33"/>
    <mergeCell ref="B30:F30"/>
    <mergeCell ref="A17:A28"/>
  </mergeCells>
  <printOptions/>
  <pageMargins left="0.7" right="0.7" top="0.75" bottom="0.75" header="0.3" footer="0.3"/>
  <pageSetup horizontalDpi="300" verticalDpi="300" orientation="portrait" paperSize="9" scale="37" r:id="rId2"/>
  <ignoredErrors>
    <ignoredError sqref="B13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N2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57421875" defaultRowHeight="13.5" customHeight="1"/>
  <cols>
    <col min="1" max="1" width="61.421875" style="0" customWidth="1"/>
    <col min="2" max="2" width="20.7109375" style="0" customWidth="1"/>
    <col min="3" max="3" width="15.8515625" style="0" bestFit="1" customWidth="1"/>
    <col min="4" max="5" width="17.28125" style="0" bestFit="1" customWidth="1"/>
    <col min="6" max="6" width="17.28125" style="0" customWidth="1"/>
    <col min="7" max="7" width="18.8515625" style="0" customWidth="1"/>
    <col min="8" max="8" width="15.8515625" style="0" bestFit="1" customWidth="1"/>
    <col min="9" max="9" width="15.8515625" style="0" customWidth="1"/>
    <col min="10" max="10" width="18.8515625" style="0" customWidth="1"/>
    <col min="11" max="11" width="17.421875" style="0" customWidth="1"/>
    <col min="12" max="12" width="21.28125" style="0" customWidth="1"/>
    <col min="13" max="13" width="18.57421875" style="17" bestFit="1" customWidth="1"/>
    <col min="14" max="14" width="30.28125" style="0" customWidth="1"/>
  </cols>
  <sheetData>
    <row r="1" spans="1:13" ht="24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73" customFormat="1" ht="24" customHeight="1" thickBot="1">
      <c r="A2" s="206" t="s">
        <v>339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ht="13.5" customHeight="1">
      <c r="A3" s="20"/>
      <c r="B3" s="21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0"/>
      <c r="M3" s="22"/>
    </row>
    <row r="4" spans="1:13" ht="42" customHeight="1">
      <c r="A4" s="204" t="s">
        <v>237</v>
      </c>
      <c r="B4" s="204" t="s">
        <v>49</v>
      </c>
      <c r="C4" s="204"/>
      <c r="D4" s="204"/>
      <c r="E4" s="204"/>
      <c r="F4" s="204"/>
      <c r="G4" s="204"/>
      <c r="H4" s="204"/>
      <c r="I4" s="204"/>
      <c r="J4" s="204"/>
      <c r="K4" s="204"/>
      <c r="L4" s="117" t="s">
        <v>57</v>
      </c>
      <c r="M4" s="205" t="s">
        <v>346</v>
      </c>
    </row>
    <row r="5" spans="1:13" s="23" customFormat="1" ht="75.75" customHeight="1">
      <c r="A5" s="204"/>
      <c r="B5" s="118" t="s">
        <v>282</v>
      </c>
      <c r="C5" s="118" t="s">
        <v>296</v>
      </c>
      <c r="D5" s="118" t="s">
        <v>303</v>
      </c>
      <c r="E5" s="118" t="s">
        <v>307</v>
      </c>
      <c r="F5" s="118" t="s">
        <v>345</v>
      </c>
      <c r="G5" s="118" t="s">
        <v>319</v>
      </c>
      <c r="H5" s="118" t="s">
        <v>281</v>
      </c>
      <c r="I5" s="118" t="s">
        <v>347</v>
      </c>
      <c r="J5" s="118" t="s">
        <v>320</v>
      </c>
      <c r="K5" s="118" t="s">
        <v>341</v>
      </c>
      <c r="L5" s="118" t="s">
        <v>340</v>
      </c>
      <c r="M5" s="205"/>
    </row>
    <row r="6" spans="1:13" s="23" customFormat="1" ht="39.75" customHeight="1">
      <c r="A6" s="74" t="s">
        <v>224</v>
      </c>
      <c r="B6" s="75">
        <f>+'7885 - BEPS'!D15</f>
        <v>123083000</v>
      </c>
      <c r="C6" s="75"/>
      <c r="D6" s="75"/>
      <c r="E6" s="75"/>
      <c r="F6" s="75"/>
      <c r="G6" s="75"/>
      <c r="H6" s="75">
        <f>+'7885 - BEPS'!D13</f>
        <v>2384511000</v>
      </c>
      <c r="I6" s="75">
        <f>+'7885 - BEPS'!D14</f>
        <v>3627000000</v>
      </c>
      <c r="J6" s="75"/>
      <c r="K6" s="75"/>
      <c r="L6" s="75"/>
      <c r="M6" s="76">
        <f aca="true" t="shared" si="0" ref="M6:M18">SUM(B6:L6)</f>
        <v>6134594000</v>
      </c>
    </row>
    <row r="7" spans="1:13" s="23" customFormat="1" ht="39.75" customHeight="1">
      <c r="A7" s="74" t="s">
        <v>225</v>
      </c>
      <c r="B7" s="75">
        <f>+'7880 - Lecturas'!D13</f>
        <v>21477293000</v>
      </c>
      <c r="C7" s="75"/>
      <c r="D7" s="75"/>
      <c r="E7" s="75"/>
      <c r="F7" s="75"/>
      <c r="G7" s="75"/>
      <c r="H7" s="75"/>
      <c r="I7" s="75"/>
      <c r="J7" s="75"/>
      <c r="K7" s="75">
        <f>+'7880 - Lecturas'!D15</f>
        <v>340107000</v>
      </c>
      <c r="L7" s="75">
        <f>+'7880 - Lecturas'!D14</f>
        <v>14087880000</v>
      </c>
      <c r="M7" s="76">
        <f t="shared" si="0"/>
        <v>35905280000</v>
      </c>
    </row>
    <row r="8" spans="1:14" s="23" customFormat="1" ht="47.25" customHeight="1">
      <c r="A8" s="74" t="s">
        <v>226</v>
      </c>
      <c r="B8" s="75">
        <f>+'7656 - Internacionalización '!D14</f>
        <v>134400000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>
        <f t="shared" si="0"/>
        <v>134400000</v>
      </c>
      <c r="N8" s="61"/>
    </row>
    <row r="9" spans="1:13" s="23" customFormat="1" ht="39.75" customHeight="1">
      <c r="A9" s="74" t="s">
        <v>227</v>
      </c>
      <c r="B9" s="75">
        <f>+'7884 - Formación'!D13</f>
        <v>528000000</v>
      </c>
      <c r="C9" s="75">
        <f>+'7884 - Formación'!D15</f>
        <v>1100000000</v>
      </c>
      <c r="D9" s="75"/>
      <c r="E9" s="75"/>
      <c r="F9" s="75">
        <f>+'7884 - Formación'!D14</f>
        <v>3764576326</v>
      </c>
      <c r="G9" s="75"/>
      <c r="H9" s="75"/>
      <c r="I9" s="75"/>
      <c r="J9" s="75"/>
      <c r="K9" s="75"/>
      <c r="L9" s="75"/>
      <c r="M9" s="76">
        <f t="shared" si="0"/>
        <v>5392576326</v>
      </c>
    </row>
    <row r="10" spans="1:14" s="23" customFormat="1" ht="39.75" customHeight="1">
      <c r="A10" s="74" t="s">
        <v>228</v>
      </c>
      <c r="B10" s="75">
        <f>+'7648 - Territorial '!D13</f>
        <v>3777000000</v>
      </c>
      <c r="C10" s="75"/>
      <c r="D10" s="75">
        <f>+'7648 - Territorial '!D14</f>
        <v>26835000</v>
      </c>
      <c r="E10" s="75"/>
      <c r="F10" s="75"/>
      <c r="G10" s="75"/>
      <c r="H10" s="75"/>
      <c r="I10" s="75"/>
      <c r="J10" s="75"/>
      <c r="K10" s="75"/>
      <c r="L10" s="75"/>
      <c r="M10" s="76">
        <f t="shared" si="0"/>
        <v>3803835000</v>
      </c>
      <c r="N10" s="61"/>
    </row>
    <row r="11" spans="1:13" s="23" customFormat="1" ht="43.5" customHeight="1">
      <c r="A11" s="74" t="s">
        <v>229</v>
      </c>
      <c r="B11" s="75">
        <f>+'7650 - Fomento'!D13</f>
        <v>7036046000</v>
      </c>
      <c r="C11" s="75">
        <f>+'7650 - Fomento'!D14</f>
        <v>5300000000</v>
      </c>
      <c r="D11" s="75"/>
      <c r="E11" s="75">
        <f>+'7650 - Fomento'!D15</f>
        <v>1053362000</v>
      </c>
      <c r="F11" s="75">
        <f>+'7650 - Fomento'!D17</f>
        <v>6173197331</v>
      </c>
      <c r="G11" s="75"/>
      <c r="H11" s="75"/>
      <c r="I11" s="75"/>
      <c r="J11" s="75"/>
      <c r="K11" s="75"/>
      <c r="L11" s="75">
        <f>+'7650 - Fomento'!D16</f>
        <v>100000000</v>
      </c>
      <c r="M11" s="76">
        <f t="shared" si="0"/>
        <v>19662605331</v>
      </c>
    </row>
    <row r="12" spans="1:14" s="23" customFormat="1" ht="39.75" customHeight="1">
      <c r="A12" s="74" t="s">
        <v>230</v>
      </c>
      <c r="B12" s="75">
        <f>+'7654 - Infraestructura'!D13</f>
        <v>2713065000</v>
      </c>
      <c r="C12" s="75">
        <f>+'7654 - Infraestructura'!D14</f>
        <v>3000000000</v>
      </c>
      <c r="D12" s="75"/>
      <c r="E12" s="75"/>
      <c r="F12" s="75"/>
      <c r="G12" s="75">
        <f>+'7654 - Infraestructura'!D15</f>
        <v>41382639000</v>
      </c>
      <c r="H12" s="75"/>
      <c r="I12" s="75"/>
      <c r="J12" s="75">
        <f>+'7654 - Infraestructura'!D16</f>
        <v>179217000</v>
      </c>
      <c r="K12" s="75"/>
      <c r="L12" s="75"/>
      <c r="M12" s="76">
        <f t="shared" si="0"/>
        <v>47274921000</v>
      </c>
      <c r="N12" s="61"/>
    </row>
    <row r="13" spans="1:13" s="23" customFormat="1" ht="39.75" customHeight="1">
      <c r="A13" s="74" t="s">
        <v>231</v>
      </c>
      <c r="B13" s="75">
        <f>+'7886 - Patrimonio'!D14</f>
        <v>942786000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>
        <f t="shared" si="0"/>
        <v>942786000</v>
      </c>
    </row>
    <row r="14" spans="1:13" s="23" customFormat="1" ht="39.75" customHeight="1">
      <c r="A14" s="74" t="s">
        <v>232</v>
      </c>
      <c r="B14" s="75">
        <f>+'7881 - Des. social'!D15</f>
        <v>1788008000</v>
      </c>
      <c r="C14" s="75"/>
      <c r="D14" s="75"/>
      <c r="E14" s="75"/>
      <c r="F14" s="75">
        <f>+'7881 - Des. social'!D13</f>
        <v>3713177101</v>
      </c>
      <c r="G14" s="75"/>
      <c r="H14" s="75"/>
      <c r="I14" s="75"/>
      <c r="J14" s="75"/>
      <c r="K14" s="75"/>
      <c r="L14" s="75">
        <v>1760777137</v>
      </c>
      <c r="M14" s="76">
        <f t="shared" si="0"/>
        <v>7261962238</v>
      </c>
    </row>
    <row r="15" spans="1:13" s="23" customFormat="1" ht="39.75" customHeight="1">
      <c r="A15" s="74" t="s">
        <v>233</v>
      </c>
      <c r="B15" s="75">
        <f>+'7887 - Esp. Público '!D14</f>
        <v>921300000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>
        <f t="shared" si="0"/>
        <v>921300000</v>
      </c>
    </row>
    <row r="16" spans="1:13" s="23" customFormat="1" ht="39.75" customHeight="1">
      <c r="A16" s="74" t="s">
        <v>234</v>
      </c>
      <c r="B16" s="75">
        <f>+'7610 - Const. de paz '!D13</f>
        <v>503000000</v>
      </c>
      <c r="C16" s="75"/>
      <c r="D16" s="75"/>
      <c r="E16" s="75"/>
      <c r="F16" s="75"/>
      <c r="G16" s="75"/>
      <c r="H16" s="75"/>
      <c r="I16" s="75"/>
      <c r="J16" s="75"/>
      <c r="K16" s="75"/>
      <c r="L16" s="75">
        <v>100000000</v>
      </c>
      <c r="M16" s="76">
        <f t="shared" si="0"/>
        <v>603000000</v>
      </c>
    </row>
    <row r="17" spans="1:13" s="23" customFormat="1" ht="39.75" customHeight="1">
      <c r="A17" s="74" t="s">
        <v>235</v>
      </c>
      <c r="B17" s="75">
        <f>+'7879 - Cultura ciud. '!D14</f>
        <v>9197664000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>
        <f t="shared" si="0"/>
        <v>9197664000</v>
      </c>
    </row>
    <row r="18" spans="1:13" s="23" customFormat="1" ht="47.25" customHeight="1">
      <c r="A18" s="74" t="s">
        <v>236</v>
      </c>
      <c r="B18" s="75">
        <f>+'7646 Fort. a la gestion'!D14</f>
        <v>5855660000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>
        <f t="shared" si="0"/>
        <v>5855660000</v>
      </c>
    </row>
    <row r="19" spans="1:13" s="23" customFormat="1" ht="18.75" customHeight="1">
      <c r="A19" s="119" t="s">
        <v>11</v>
      </c>
      <c r="B19" s="120">
        <f aca="true" t="shared" si="1" ref="B19:M19">SUM(B6:B18)</f>
        <v>54997305000</v>
      </c>
      <c r="C19" s="120">
        <f t="shared" si="1"/>
        <v>9400000000</v>
      </c>
      <c r="D19" s="120">
        <f t="shared" si="1"/>
        <v>26835000</v>
      </c>
      <c r="E19" s="120">
        <f t="shared" si="1"/>
        <v>1053362000</v>
      </c>
      <c r="F19" s="120">
        <f t="shared" si="1"/>
        <v>13650950758</v>
      </c>
      <c r="G19" s="120">
        <f t="shared" si="1"/>
        <v>41382639000</v>
      </c>
      <c r="H19" s="120">
        <f t="shared" si="1"/>
        <v>2384511000</v>
      </c>
      <c r="I19" s="120">
        <f t="shared" si="1"/>
        <v>3627000000</v>
      </c>
      <c r="J19" s="120">
        <f t="shared" si="1"/>
        <v>179217000</v>
      </c>
      <c r="K19" s="120">
        <f t="shared" si="1"/>
        <v>340107000</v>
      </c>
      <c r="L19" s="120">
        <f t="shared" si="1"/>
        <v>16048657137</v>
      </c>
      <c r="M19" s="120">
        <f>SUM(M6:M18)</f>
        <v>143090583895</v>
      </c>
    </row>
    <row r="20" ht="9.75" customHeight="1">
      <c r="M20"/>
    </row>
    <row r="21" spans="7:13" ht="15.75" customHeight="1">
      <c r="G21" s="60"/>
      <c r="M21" s="15">
        <v>9</v>
      </c>
    </row>
    <row r="22" spans="5:13" ht="18" customHeight="1">
      <c r="E22" s="60"/>
      <c r="F22" s="60"/>
      <c r="G22" s="60"/>
      <c r="M22" s="16">
        <v>44469</v>
      </c>
    </row>
    <row r="24" ht="13.5" customHeight="1">
      <c r="M24" s="115"/>
    </row>
    <row r="25" ht="13.5" customHeight="1">
      <c r="M25" s="63"/>
    </row>
    <row r="26" spans="12:13" ht="13.5" customHeight="1">
      <c r="L26" s="124"/>
      <c r="M26" s="116"/>
    </row>
    <row r="27" ht="13.5" customHeight="1">
      <c r="M27" s="116"/>
    </row>
    <row r="28" ht="13.5" customHeight="1">
      <c r="M28" s="115"/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4">
    <mergeCell ref="A4:A5"/>
    <mergeCell ref="B4:K4"/>
    <mergeCell ref="M4:M5"/>
    <mergeCell ref="A2:M2"/>
  </mergeCells>
  <printOptions horizontalCentered="1" verticalCentered="1"/>
  <pageMargins left="0.4888888888888889" right="0.2638888888888889" top="0.5041666666666667" bottom="0.6076388888888888" header="0.5118055555555555" footer="0.5118055555555555"/>
  <pageSetup horizontalDpi="600" verticalDpi="600" orientation="landscape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B1">
      <selection activeCell="B1" sqref="B1"/>
    </sheetView>
  </sheetViews>
  <sheetFormatPr defaultColWidth="11.57421875" defaultRowHeight="12.75"/>
  <cols>
    <col min="1" max="1" width="5.00390625" style="20" hidden="1" customWidth="1"/>
    <col min="2" max="2" width="22.140625" style="0" customWidth="1"/>
    <col min="3" max="3" width="43.00390625" style="0" customWidth="1"/>
    <col min="4" max="4" width="57.00390625" style="0" customWidth="1"/>
    <col min="5" max="5" width="14.28125" style="0" hidden="1" customWidth="1"/>
    <col min="6" max="6" width="7.57421875" style="0" hidden="1" customWidth="1"/>
  </cols>
  <sheetData>
    <row r="2" spans="1:9" ht="13.5" customHeight="1">
      <c r="A2" s="45"/>
      <c r="B2" s="46" t="s">
        <v>64</v>
      </c>
      <c r="C2" s="45"/>
      <c r="D2" s="45"/>
      <c r="E2" s="45"/>
      <c r="F2" s="45"/>
      <c r="G2" s="20"/>
      <c r="H2" s="20"/>
      <c r="I2" s="20"/>
    </row>
    <row r="3" spans="1:9" ht="13.5" customHeight="1">
      <c r="A3" s="45"/>
      <c r="B3" s="47" t="s">
        <v>96</v>
      </c>
      <c r="C3" s="45"/>
      <c r="D3" s="45"/>
      <c r="E3" s="45"/>
      <c r="F3" s="45"/>
      <c r="G3" s="20"/>
      <c r="H3" s="20"/>
      <c r="I3" s="20"/>
    </row>
    <row r="4" spans="1:9" ht="13.5" customHeight="1">
      <c r="A4" s="45"/>
      <c r="B4" s="45"/>
      <c r="C4" s="45"/>
      <c r="D4" s="45"/>
      <c r="E4" s="45"/>
      <c r="F4" s="45"/>
      <c r="G4" s="20"/>
      <c r="H4" s="20"/>
      <c r="I4" s="20"/>
    </row>
    <row r="5" spans="1:9" ht="13.5" customHeight="1">
      <c r="A5" s="45"/>
      <c r="B5" s="48" t="s">
        <v>65</v>
      </c>
      <c r="C5" s="48" t="s">
        <v>66</v>
      </c>
      <c r="D5" s="49" t="s">
        <v>67</v>
      </c>
      <c r="E5" s="49" t="s">
        <v>68</v>
      </c>
      <c r="F5" s="49" t="s">
        <v>54</v>
      </c>
      <c r="G5" s="20"/>
      <c r="H5" s="20"/>
      <c r="I5" s="20"/>
    </row>
    <row r="6" spans="1:9" ht="25.5">
      <c r="A6" s="50">
        <v>1</v>
      </c>
      <c r="B6" s="51" t="s">
        <v>34</v>
      </c>
      <c r="C6" s="51" t="s">
        <v>37</v>
      </c>
      <c r="D6" s="52" t="s">
        <v>59</v>
      </c>
      <c r="E6" s="53">
        <f>'[1]Corredores'!I46+0</f>
        <v>0</v>
      </c>
      <c r="F6" s="54">
        <f>E6/E$40</f>
        <v>0</v>
      </c>
      <c r="G6" s="20"/>
      <c r="H6" s="20"/>
      <c r="I6" s="20"/>
    </row>
    <row r="7" spans="1:9" ht="25.5">
      <c r="A7" s="50"/>
      <c r="B7" s="51" t="s">
        <v>34</v>
      </c>
      <c r="C7" s="51" t="s">
        <v>37</v>
      </c>
      <c r="D7" s="51" t="s">
        <v>69</v>
      </c>
      <c r="E7" s="53">
        <f>'[1]Corredores'!I22+'[1]Corredores'!I47+'[1]Corredores'!I48+'[1]Corredores'!I32</f>
        <v>4446064750</v>
      </c>
      <c r="F7" s="54"/>
      <c r="G7" s="20"/>
      <c r="H7" s="20"/>
      <c r="I7" s="20"/>
    </row>
    <row r="8" spans="1:9" ht="25.5">
      <c r="A8" s="50">
        <v>2</v>
      </c>
      <c r="B8" s="51" t="s">
        <v>34</v>
      </c>
      <c r="C8" s="51" t="s">
        <v>35</v>
      </c>
      <c r="D8" s="51" t="s">
        <v>36</v>
      </c>
      <c r="E8" s="53">
        <f>'[1]Corredores'!I36++'[1]Corredores'!I38+'[1]Fortalec'!I33</f>
        <v>9891318361</v>
      </c>
      <c r="F8" s="54">
        <f aca="true" t="shared" si="0" ref="F8:F40">E8/E$40</f>
        <v>0.18282433605073772</v>
      </c>
      <c r="G8" s="20"/>
      <c r="H8" s="20"/>
      <c r="I8" s="20"/>
    </row>
    <row r="9" spans="1:9" ht="38.25">
      <c r="A9" s="50"/>
      <c r="B9" s="51" t="s">
        <v>17</v>
      </c>
      <c r="C9" s="51" t="s">
        <v>44</v>
      </c>
      <c r="D9" s="51" t="s">
        <v>70</v>
      </c>
      <c r="E9" s="53">
        <f>0</f>
        <v>0</v>
      </c>
      <c r="F9" s="54">
        <f t="shared" si="0"/>
        <v>0</v>
      </c>
      <c r="G9" s="20"/>
      <c r="H9" s="20"/>
      <c r="I9" s="20"/>
    </row>
    <row r="10" spans="1:9" ht="38.25">
      <c r="A10" s="50">
        <v>3</v>
      </c>
      <c r="B10" s="51" t="s">
        <v>17</v>
      </c>
      <c r="C10" s="51" t="s">
        <v>44</v>
      </c>
      <c r="D10" s="51" t="s">
        <v>71</v>
      </c>
      <c r="E10" s="53">
        <f>'[1]Comunica'!I22+'[1]Participa'!I24+'[1]Oportunid'!I22</f>
        <v>134776000</v>
      </c>
      <c r="F10" s="54">
        <f t="shared" si="0"/>
        <v>0.0024911070310634628</v>
      </c>
      <c r="G10" s="20"/>
      <c r="H10" s="20"/>
      <c r="I10" s="20" t="s">
        <v>28</v>
      </c>
    </row>
    <row r="11" spans="1:9" ht="38.25">
      <c r="A11" s="50">
        <v>4</v>
      </c>
      <c r="B11" s="51" t="s">
        <v>17</v>
      </c>
      <c r="C11" s="51" t="s">
        <v>44</v>
      </c>
      <c r="D11" s="51" t="s">
        <v>45</v>
      </c>
      <c r="E11" s="53">
        <f>'[1]Fortalec'!I42</f>
        <v>5000000</v>
      </c>
      <c r="F11" s="54">
        <f t="shared" si="0"/>
        <v>9.241656641625597E-05</v>
      </c>
      <c r="G11" s="20"/>
      <c r="H11" s="20"/>
      <c r="I11" s="20"/>
    </row>
    <row r="12" spans="1:9" ht="38.25">
      <c r="A12" s="50"/>
      <c r="B12" s="51" t="s">
        <v>17</v>
      </c>
      <c r="C12" s="51" t="s">
        <v>72</v>
      </c>
      <c r="D12" s="51" t="s">
        <v>73</v>
      </c>
      <c r="E12" s="53">
        <f>'[1]Comunica'!I23</f>
        <v>8979099</v>
      </c>
      <c r="F12" s="54">
        <f t="shared" si="0"/>
        <v>0.00016596349981832752</v>
      </c>
      <c r="G12" s="20"/>
      <c r="H12" s="20"/>
      <c r="I12" s="20"/>
    </row>
    <row r="13" spans="1:9" ht="25.5">
      <c r="A13" s="50">
        <v>5</v>
      </c>
      <c r="B13" s="51" t="s">
        <v>17</v>
      </c>
      <c r="C13" s="51" t="s">
        <v>74</v>
      </c>
      <c r="D13" s="51" t="s">
        <v>75</v>
      </c>
      <c r="E13" s="53">
        <f>'[1]GC Local'!I26</f>
        <v>25384198</v>
      </c>
      <c r="F13" s="54">
        <f t="shared" si="0"/>
        <v>0.0004691840840780784</v>
      </c>
      <c r="G13" s="20"/>
      <c r="H13" s="20"/>
      <c r="I13" s="20"/>
    </row>
    <row r="14" spans="1:9" ht="24" customHeight="1">
      <c r="A14" s="50"/>
      <c r="B14" s="51" t="s">
        <v>17</v>
      </c>
      <c r="C14" s="51" t="s">
        <v>74</v>
      </c>
      <c r="D14" s="51" t="s">
        <v>76</v>
      </c>
      <c r="E14" s="53">
        <f>'[1]Fortalec'!I35</f>
        <v>233820639</v>
      </c>
      <c r="F14" s="54">
        <f t="shared" si="0"/>
        <v>0.004321780122726982</v>
      </c>
      <c r="G14" s="20"/>
      <c r="H14" s="20"/>
      <c r="I14" s="20"/>
    </row>
    <row r="15" spans="1:9" ht="24" customHeight="1">
      <c r="A15" s="50">
        <v>6</v>
      </c>
      <c r="B15" s="51" t="s">
        <v>17</v>
      </c>
      <c r="C15" s="51" t="s">
        <v>74</v>
      </c>
      <c r="D15" s="51" t="s">
        <v>77</v>
      </c>
      <c r="E15" s="53">
        <f>'[1]Fortalec'!I36</f>
        <v>0</v>
      </c>
      <c r="F15" s="54">
        <f t="shared" si="0"/>
        <v>0</v>
      </c>
      <c r="G15" s="20"/>
      <c r="H15" s="20"/>
      <c r="I15" s="20"/>
    </row>
    <row r="16" spans="1:9" ht="25.5">
      <c r="A16" s="50"/>
      <c r="B16" s="51" t="s">
        <v>17</v>
      </c>
      <c r="C16" s="51" t="s">
        <v>74</v>
      </c>
      <c r="D16" s="51" t="s">
        <v>78</v>
      </c>
      <c r="E16" s="53">
        <f>'[1]Participa'!I25</f>
        <v>69000000</v>
      </c>
      <c r="F16" s="54">
        <f t="shared" si="0"/>
        <v>0.0012753486165443324</v>
      </c>
      <c r="G16" s="20"/>
      <c r="H16" s="20"/>
      <c r="I16" s="20"/>
    </row>
    <row r="17" spans="1:9" ht="25.5">
      <c r="A17" s="50"/>
      <c r="B17" s="51" t="s">
        <v>17</v>
      </c>
      <c r="C17" s="51" t="s">
        <v>42</v>
      </c>
      <c r="D17" s="51" t="s">
        <v>43</v>
      </c>
      <c r="E17" s="53">
        <f>'[1]Fortalec'!I34</f>
        <v>0</v>
      </c>
      <c r="F17" s="54">
        <f t="shared" si="0"/>
        <v>0</v>
      </c>
      <c r="G17" s="20"/>
      <c r="H17" s="20"/>
      <c r="I17" s="20"/>
    </row>
    <row r="18" spans="1:9" ht="38.25">
      <c r="A18" s="50"/>
      <c r="B18" s="51" t="s">
        <v>17</v>
      </c>
      <c r="C18" s="51" t="s">
        <v>16</v>
      </c>
      <c r="D18" s="51" t="s">
        <v>18</v>
      </c>
      <c r="E18" s="53"/>
      <c r="F18" s="54"/>
      <c r="G18" s="20"/>
      <c r="H18" s="20"/>
      <c r="I18" s="20"/>
    </row>
    <row r="19" spans="1:9" ht="25.5">
      <c r="A19" s="50">
        <v>7</v>
      </c>
      <c r="B19" s="51" t="s">
        <v>15</v>
      </c>
      <c r="C19" s="51" t="s">
        <v>22</v>
      </c>
      <c r="D19" s="51" t="s">
        <v>41</v>
      </c>
      <c r="E19" s="53">
        <f>'[1]Comunica'!I18+'[1]Comunica'!I30+'[1]Fortalec'!I22</f>
        <v>173341834</v>
      </c>
      <c r="F19" s="54">
        <f t="shared" si="0"/>
        <v>0.0032039314229153236</v>
      </c>
      <c r="G19" s="20"/>
      <c r="H19" s="20"/>
      <c r="I19" s="20"/>
    </row>
    <row r="20" spans="1:9" ht="25.5">
      <c r="A20" s="50">
        <v>8</v>
      </c>
      <c r="B20" s="51" t="s">
        <v>15</v>
      </c>
      <c r="C20" s="51" t="s">
        <v>22</v>
      </c>
      <c r="D20" s="51" t="s">
        <v>47</v>
      </c>
      <c r="E20" s="53">
        <f>'[1]AIPI'!I18+'[1]Participa'!I18+'[1]Participa'!I22+'[1]Participa'!I26+'[1]Transparen'!I18</f>
        <v>524744606</v>
      </c>
      <c r="F20" s="54">
        <f t="shared" si="0"/>
        <v>0.009699018946394215</v>
      </c>
      <c r="G20" s="20"/>
      <c r="H20" s="20"/>
      <c r="I20" s="20"/>
    </row>
    <row r="21" spans="1:9" ht="25.5">
      <c r="A21" s="50">
        <v>9</v>
      </c>
      <c r="B21" s="51" t="s">
        <v>15</v>
      </c>
      <c r="C21" s="51" t="s">
        <v>22</v>
      </c>
      <c r="D21" s="51" t="s">
        <v>24</v>
      </c>
      <c r="E21" s="53">
        <f>'[1]Diversidad'!I25+'[1]Diversidad'!I23+'[1]Diversidad'!I29+'[1]Diversidad'!I30+'[1]Diversidad'!I31+'[1]Oportunid'!I23+'[1]Oportunid'!I24+'[1]Corredores'!I33+'[1]C Juveniles'!I18+'[1]Transf'!I19+0</f>
        <v>2166111400</v>
      </c>
      <c r="F21" s="54">
        <f t="shared" si="0"/>
        <v>0.04003691561262184</v>
      </c>
      <c r="G21" s="20"/>
      <c r="H21" s="20"/>
      <c r="I21" s="20"/>
    </row>
    <row r="22" spans="1:9" ht="25.5">
      <c r="A22" s="50">
        <v>10</v>
      </c>
      <c r="B22" s="51" t="s">
        <v>15</v>
      </c>
      <c r="C22" s="51" t="s">
        <v>22</v>
      </c>
      <c r="D22" s="51" t="s">
        <v>23</v>
      </c>
      <c r="E22" s="53">
        <f>'[1]Diversidad'!I33+'[1]Diversidad'!I39+'[1]GC Local'!I19+'[1]GC Local'!I21+'[1]GC Local'!I24+'[1]Biblio'!I25+'[1]Biblio'!I26+'[1]Biblio'!I27+'[1]Biblio'!I31+'[1]Oportunid'!I19+'[1]Oportunid'!I33+'[1]Corredores'!I40+'[1]Transf'!I20+'[1]Diversidad'!I26+'[1]Oportunid'!I30+'[1]Oportunid'!I20+'[1]Corredores'!I28+'[1]Fortalec'!I30+'[1]Corredores'!AC29</f>
        <v>22711713794</v>
      </c>
      <c r="F22" s="54">
        <f t="shared" si="0"/>
        <v>0.41978772125403957</v>
      </c>
      <c r="G22" s="20"/>
      <c r="H22" s="20"/>
      <c r="I22" s="20"/>
    </row>
    <row r="23" spans="1:9" ht="25.5">
      <c r="A23" s="50">
        <v>11</v>
      </c>
      <c r="B23" s="51" t="s">
        <v>15</v>
      </c>
      <c r="C23" s="51" t="s">
        <v>22</v>
      </c>
      <c r="D23" s="51" t="s">
        <v>79</v>
      </c>
      <c r="E23" s="53">
        <f>'[1]Oportunid'!I21</f>
        <v>37000000</v>
      </c>
      <c r="F23" s="54">
        <f t="shared" si="0"/>
        <v>0.0006838825914802941</v>
      </c>
      <c r="G23" s="20"/>
      <c r="H23" s="20"/>
      <c r="I23" s="20"/>
    </row>
    <row r="24" spans="1:9" ht="38.25">
      <c r="A24" s="50">
        <v>12</v>
      </c>
      <c r="B24" s="51" t="s">
        <v>15</v>
      </c>
      <c r="C24" s="51" t="s">
        <v>22</v>
      </c>
      <c r="D24" s="51" t="s">
        <v>80</v>
      </c>
      <c r="E24" s="53">
        <f>'[1]Recrea'!I19</f>
        <v>38285471</v>
      </c>
      <c r="F24" s="54">
        <f t="shared" si="0"/>
        <v>0.0007076423546898284</v>
      </c>
      <c r="G24" s="20"/>
      <c r="H24" s="20"/>
      <c r="I24" s="20"/>
    </row>
    <row r="25" spans="1:9" ht="38.25">
      <c r="A25" s="50">
        <v>13</v>
      </c>
      <c r="B25" s="51" t="s">
        <v>15</v>
      </c>
      <c r="C25" s="51" t="s">
        <v>22</v>
      </c>
      <c r="D25" s="51" t="s">
        <v>81</v>
      </c>
      <c r="E25" s="53">
        <f>'[1]Recrea'!I23</f>
        <v>50285471</v>
      </c>
      <c r="F25" s="54">
        <f t="shared" si="0"/>
        <v>0.0009294421140888427</v>
      </c>
      <c r="G25" s="20"/>
      <c r="H25" s="20"/>
      <c r="I25" s="20"/>
    </row>
    <row r="26" spans="1:9" ht="38.25">
      <c r="A26" s="50"/>
      <c r="B26" s="51" t="s">
        <v>15</v>
      </c>
      <c r="C26" s="51" t="s">
        <v>22</v>
      </c>
      <c r="D26" s="51" t="s">
        <v>63</v>
      </c>
      <c r="E26" s="53"/>
      <c r="F26" s="54"/>
      <c r="G26" s="20"/>
      <c r="H26" s="20"/>
      <c r="I26" s="20"/>
    </row>
    <row r="27" spans="1:9" ht="25.5">
      <c r="A27" s="50"/>
      <c r="B27" s="51" t="s">
        <v>15</v>
      </c>
      <c r="C27" s="51" t="s">
        <v>22</v>
      </c>
      <c r="D27" s="51" t="s">
        <v>82</v>
      </c>
      <c r="E27" s="53">
        <f>'[1]AIPI'!I19+'[1]Comunica'!I32+'[1]Corredores'!I27+'[1]Corredores'!I41+'[1]Recrea'!I22</f>
        <v>547093000</v>
      </c>
      <c r="F27" s="54">
        <f t="shared" si="0"/>
        <v>0.010112091314073746</v>
      </c>
      <c r="G27" s="20"/>
      <c r="H27" s="20"/>
      <c r="I27" s="20"/>
    </row>
    <row r="28" spans="1:9" ht="23.25" customHeight="1">
      <c r="A28" s="50">
        <v>14</v>
      </c>
      <c r="B28" s="51" t="s">
        <v>15</v>
      </c>
      <c r="C28" s="51" t="s">
        <v>19</v>
      </c>
      <c r="D28" s="51" t="s">
        <v>20</v>
      </c>
      <c r="E28" s="53">
        <f>'[1]Diversidad'!I20+'[1]Diversidad'!I27+'[1]Diversidad'!I36+'[1]Comunica'!I19+'[1]Comunica'!I24+'[1]Comunica'!I28+'[1]GC Local'!I22+'[1]GC Local'!I27+'[1]Oportunid'!I31+'[1]Oportunid'!I34+'[1]Corredores'!I25+'[1]Corredores'!I30+'[1]C Juveniles'!I19+'[1]Fortalec'!I38+'[1]Fortalec'!I40+'[1]Fortalec'!I43</f>
        <v>2941820367</v>
      </c>
      <c r="F28" s="54">
        <f t="shared" si="0"/>
        <v>0.05437458746631</v>
      </c>
      <c r="G28" s="20"/>
      <c r="H28" s="20"/>
      <c r="I28" s="20"/>
    </row>
    <row r="29" spans="1:9" ht="25.5">
      <c r="A29" s="50">
        <v>15</v>
      </c>
      <c r="B29" s="51" t="s">
        <v>15</v>
      </c>
      <c r="C29" s="51" t="s">
        <v>19</v>
      </c>
      <c r="D29" s="51" t="s">
        <v>83</v>
      </c>
      <c r="E29" s="53">
        <f>'[1]Fortalec'!I18</f>
        <v>178000000</v>
      </c>
      <c r="F29" s="54">
        <f t="shared" si="0"/>
        <v>0.0032900297644187127</v>
      </c>
      <c r="G29" s="20"/>
      <c r="H29" s="20"/>
      <c r="I29" s="20"/>
    </row>
    <row r="30" spans="1:9" ht="25.5">
      <c r="A30" s="50">
        <v>17</v>
      </c>
      <c r="B30" s="51" t="s">
        <v>15</v>
      </c>
      <c r="C30" s="51" t="s">
        <v>19</v>
      </c>
      <c r="D30" s="51" t="s">
        <v>84</v>
      </c>
      <c r="E30" s="53">
        <f>'[1]AIPI'!I20+'[1]AIPI'!I22+'[1]Diversidad'!I21+'[1]Comunica'!I25+'[1]GC Local'!I23+'[1]GC Local'!I28+'[1]Biblio'!I28+'[1]Recrea'!I21+'[1]Oportunid'!I26+'[1]Corredores'!I23+'[1]Corredores'!I26+'[1]Corredores'!I39+'[1]Corredores'!I43+'[1]Corredores'!I44+'[1]Transf'!I18+'[1]ESAL'!I18+'[1]Participa'!I20+'[1]Participa'!I27+'[1]Observat'!I18+'[1]Observat'!I21+'[1]Transparen'!I20+'[1]Transparen'!I23+'[1]Fortalec'!I19+'[1]Fortalec'!I23+'[1]Fortalec'!I25+'[1]Fortalec'!I27+'[1]Fortalec'!I29+'[1]Fortalec'!I45+'[1]Oportunid'!I27</f>
        <v>9593597460</v>
      </c>
      <c r="F30" s="54">
        <f t="shared" si="0"/>
        <v>0.1773214673665829</v>
      </c>
      <c r="G30" s="20"/>
      <c r="H30" s="20"/>
      <c r="I30" s="20"/>
    </row>
    <row r="31" spans="1:9" ht="25.5">
      <c r="A31" s="50"/>
      <c r="B31" s="51" t="s">
        <v>15</v>
      </c>
      <c r="C31" s="51" t="s">
        <v>46</v>
      </c>
      <c r="D31" s="51" t="s">
        <v>48</v>
      </c>
      <c r="E31" s="53"/>
      <c r="F31" s="54"/>
      <c r="G31" s="20"/>
      <c r="H31" s="20"/>
      <c r="I31" s="20"/>
    </row>
    <row r="32" spans="1:9" ht="25.5">
      <c r="A32" s="50">
        <v>19</v>
      </c>
      <c r="B32" s="51" t="s">
        <v>25</v>
      </c>
      <c r="C32" s="51" t="s">
        <v>26</v>
      </c>
      <c r="D32" s="51" t="s">
        <v>85</v>
      </c>
      <c r="E32" s="53">
        <f>0</f>
        <v>0</v>
      </c>
      <c r="F32" s="54">
        <f t="shared" si="0"/>
        <v>0</v>
      </c>
      <c r="G32" s="20"/>
      <c r="H32" s="20"/>
      <c r="I32" s="20"/>
    </row>
    <row r="33" spans="1:9" ht="25.5">
      <c r="A33" s="50">
        <v>20</v>
      </c>
      <c r="B33" s="51" t="s">
        <v>25</v>
      </c>
      <c r="C33" s="51" t="s">
        <v>26</v>
      </c>
      <c r="D33" s="51" t="s">
        <v>86</v>
      </c>
      <c r="E33" s="53">
        <f>'[1]Recrea'!I24</f>
        <v>90000000</v>
      </c>
      <c r="F33" s="54">
        <f t="shared" si="0"/>
        <v>0.0016634981954926074</v>
      </c>
      <c r="G33" s="20"/>
      <c r="H33" s="20"/>
      <c r="I33" s="20"/>
    </row>
    <row r="34" spans="1:9" ht="38.25">
      <c r="A34" s="50">
        <v>21</v>
      </c>
      <c r="B34" s="51" t="s">
        <v>25</v>
      </c>
      <c r="C34" s="51" t="s">
        <v>26</v>
      </c>
      <c r="D34" s="51" t="s">
        <v>87</v>
      </c>
      <c r="E34" s="53">
        <f>'[1]Observat'!I22+'[1]Observat'!I19</f>
        <v>82408000</v>
      </c>
      <c r="F34" s="54">
        <f t="shared" si="0"/>
        <v>0.0015231728810461643</v>
      </c>
      <c r="G34" s="20"/>
      <c r="H34" s="20"/>
      <c r="I34" s="20"/>
    </row>
    <row r="35" spans="1:9" ht="25.5">
      <c r="A35" s="50"/>
      <c r="B35" s="51" t="s">
        <v>88</v>
      </c>
      <c r="C35" s="51" t="s">
        <v>89</v>
      </c>
      <c r="D35" s="51" t="s">
        <v>90</v>
      </c>
      <c r="E35" s="53">
        <f>'[1]Oportunid'!I35+'[1]Corredores'!I31+'[1]Transparen'!I24+'[1]Diversidad'!I32</f>
        <v>72844000</v>
      </c>
      <c r="F35" s="54">
        <f t="shared" si="0"/>
        <v>0.00134639847280515</v>
      </c>
      <c r="G35" s="20"/>
      <c r="H35" s="20"/>
      <c r="I35" s="20"/>
    </row>
    <row r="36" spans="1:9" ht="25.5">
      <c r="A36" s="50"/>
      <c r="B36" s="51" t="s">
        <v>25</v>
      </c>
      <c r="C36" s="51" t="s">
        <v>91</v>
      </c>
      <c r="D36" s="51" t="s">
        <v>92</v>
      </c>
      <c r="E36" s="53">
        <f>'[1]Observat'!I23</f>
        <v>30307500</v>
      </c>
      <c r="F36" s="54">
        <f t="shared" si="0"/>
        <v>0.0005601830173321355</v>
      </c>
      <c r="G36" s="20"/>
      <c r="H36" s="20"/>
      <c r="I36" s="20"/>
    </row>
    <row r="37" spans="1:9" ht="38.25">
      <c r="A37" s="50">
        <v>22</v>
      </c>
      <c r="B37" s="51" t="s">
        <v>38</v>
      </c>
      <c r="C37" s="51" t="s">
        <v>93</v>
      </c>
      <c r="D37" s="51" t="s">
        <v>94</v>
      </c>
      <c r="E37" s="53">
        <f>'[1]Transparen'!I21</f>
        <v>0</v>
      </c>
      <c r="F37" s="54">
        <f t="shared" si="0"/>
        <v>0</v>
      </c>
      <c r="G37" s="20"/>
      <c r="H37" s="20"/>
      <c r="I37" s="20"/>
    </row>
    <row r="38" spans="1:9" ht="25.5">
      <c r="A38" s="50"/>
      <c r="B38" s="51" t="s">
        <v>38</v>
      </c>
      <c r="C38" s="51" t="s">
        <v>39</v>
      </c>
      <c r="D38" s="51" t="s">
        <v>40</v>
      </c>
      <c r="E38" s="53">
        <f>'[1]Fortalec'!I31</f>
        <v>5958050</v>
      </c>
      <c r="F38" s="54">
        <f t="shared" si="0"/>
        <v>0.00011012450470727477</v>
      </c>
      <c r="G38" s="20"/>
      <c r="H38" s="20"/>
      <c r="I38" s="20"/>
    </row>
    <row r="39" spans="1:9" ht="38.25">
      <c r="A39" s="50"/>
      <c r="B39" s="51" t="s">
        <v>38</v>
      </c>
      <c r="C39" s="51" t="s">
        <v>39</v>
      </c>
      <c r="D39" s="51" t="s">
        <v>95</v>
      </c>
      <c r="E39" s="53">
        <f>'[1]Biblio'!I29</f>
        <v>45000000</v>
      </c>
      <c r="F39" s="54">
        <f t="shared" si="0"/>
        <v>0.0008317490977463037</v>
      </c>
      <c r="G39" s="20"/>
      <c r="H39" s="20"/>
      <c r="I39" s="20"/>
    </row>
    <row r="40" spans="1:9" ht="44.25" customHeight="1">
      <c r="A40" s="50"/>
      <c r="B40" s="51" t="s">
        <v>60</v>
      </c>
      <c r="C40" s="51" t="s">
        <v>61</v>
      </c>
      <c r="D40" s="51" t="s">
        <v>62</v>
      </c>
      <c r="E40" s="55">
        <f>SUM(E6:E39)</f>
        <v>54102854000</v>
      </c>
      <c r="F40" s="56">
        <f t="shared" si="0"/>
        <v>1</v>
      </c>
      <c r="G40" s="20"/>
      <c r="H40" s="20"/>
      <c r="I40" s="20"/>
    </row>
    <row r="41" spans="1:9" ht="13.5" customHeight="1">
      <c r="A41" s="45"/>
      <c r="B41" s="45"/>
      <c r="C41" s="45"/>
      <c r="D41" s="45"/>
      <c r="E41" s="57">
        <v>54117854000</v>
      </c>
      <c r="F41" s="45"/>
      <c r="G41" s="20"/>
      <c r="H41" s="20"/>
      <c r="I41" s="20"/>
    </row>
    <row r="42" spans="1:9" ht="13.5" customHeight="1">
      <c r="A42" s="45"/>
      <c r="B42" s="45"/>
      <c r="C42" s="45"/>
      <c r="D42" s="45"/>
      <c r="E42" s="58">
        <f>E41-E40</f>
        <v>15000000</v>
      </c>
      <c r="F42" s="45"/>
      <c r="G42" s="20"/>
      <c r="H42" s="20"/>
      <c r="I42" s="20"/>
    </row>
    <row r="43" spans="1:9" ht="13.5" customHeight="1">
      <c r="A43" s="45"/>
      <c r="B43" s="45"/>
      <c r="C43" s="45"/>
      <c r="D43" s="45"/>
      <c r="E43" s="59" t="s">
        <v>28</v>
      </c>
      <c r="F43" s="45"/>
      <c r="G43" s="20"/>
      <c r="H43" s="20"/>
      <c r="I43" s="20"/>
    </row>
    <row r="44" spans="2:9" ht="13.5" customHeight="1">
      <c r="B44" s="20"/>
      <c r="C44" s="20"/>
      <c r="D44" s="20"/>
      <c r="E44" s="57" t="s">
        <v>28</v>
      </c>
      <c r="F44" s="20"/>
      <c r="G44" s="20"/>
      <c r="H44" s="20"/>
      <c r="I4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99"/>
  <sheetViews>
    <sheetView view="pageBreakPreview" zoomScale="90" zoomScaleSheetLayoutView="90" zoomScalePageLayoutView="0" workbookViewId="0" topLeftCell="A66">
      <selection activeCell="F103" sqref="F103"/>
    </sheetView>
  </sheetViews>
  <sheetFormatPr defaultColWidth="11.57421875" defaultRowHeight="14.25" customHeight="1"/>
  <cols>
    <col min="1" max="1" width="7.7109375" style="0" customWidth="1"/>
    <col min="2" max="2" width="10.57421875" style="0" customWidth="1"/>
    <col min="3" max="3" width="11.57421875" style="0" customWidth="1"/>
    <col min="4" max="4" width="5.140625" style="0" customWidth="1"/>
    <col min="5" max="5" width="10.140625" style="0" customWidth="1"/>
    <col min="6" max="6" width="4.140625" style="0" customWidth="1"/>
    <col min="7" max="7" width="7.7109375" style="0" customWidth="1"/>
    <col min="8" max="8" width="5.8515625" style="0" customWidth="1"/>
    <col min="9" max="9" width="2.57421875" style="0" customWidth="1"/>
    <col min="10" max="10" width="6.28125" style="24" customWidth="1"/>
    <col min="11" max="11" width="11.57421875" style="24" customWidth="1"/>
    <col min="12" max="12" width="15.140625" style="24" customWidth="1"/>
    <col min="13" max="13" width="13.28125" style="0" customWidth="1"/>
    <col min="14" max="14" width="5.57421875" style="0" customWidth="1"/>
    <col min="15" max="15" width="13.57421875" style="0" customWidth="1"/>
    <col min="16" max="16" width="6.57421875" style="0" customWidth="1"/>
    <col min="17" max="17" width="11.57421875" style="0" customWidth="1"/>
    <col min="18" max="18" width="6.421875" style="0" customWidth="1"/>
  </cols>
  <sheetData>
    <row r="2" spans="3:5" ht="14.25" customHeight="1">
      <c r="C2" s="25" t="e">
        <f>+'7879 - Cultura ciud. '!#REF!/E2</f>
        <v>#REF!</v>
      </c>
      <c r="E2" s="26">
        <v>1000000</v>
      </c>
    </row>
    <row r="3" spans="1:8" ht="14.25" customHeight="1">
      <c r="A3">
        <v>926</v>
      </c>
      <c r="C3" s="213" t="s">
        <v>50</v>
      </c>
      <c r="D3" s="213"/>
      <c r="E3" s="213"/>
      <c r="F3" s="213"/>
      <c r="G3" s="213" t="s">
        <v>51</v>
      </c>
      <c r="H3" s="213"/>
    </row>
    <row r="4" spans="2:8" ht="14.25" customHeight="1">
      <c r="B4" s="209" t="s">
        <v>52</v>
      </c>
      <c r="C4" s="27" t="s">
        <v>53</v>
      </c>
      <c r="D4" s="27" t="s">
        <v>54</v>
      </c>
      <c r="E4" s="27" t="s">
        <v>55</v>
      </c>
      <c r="F4" s="27" t="s">
        <v>54</v>
      </c>
      <c r="G4" s="28"/>
      <c r="H4" s="29" t="s">
        <v>54</v>
      </c>
    </row>
    <row r="5" spans="2:10" ht="17.25" customHeight="1">
      <c r="B5" s="209"/>
      <c r="C5" s="30" t="e">
        <f>+'7879 - Cultura ciud. '!#REF!/1000000</f>
        <v>#REF!</v>
      </c>
      <c r="D5" s="31">
        <v>52</v>
      </c>
      <c r="E5" s="30">
        <f>+'7879 - Cultura ciud. '!G20/1000000</f>
        <v>7171.417625</v>
      </c>
      <c r="F5" s="31">
        <v>22</v>
      </c>
      <c r="G5" s="30">
        <f>+'7879 - Cultura ciud. '!G21/E2</f>
        <v>1983.496375</v>
      </c>
      <c r="H5" s="32">
        <v>26</v>
      </c>
      <c r="J5" s="24">
        <f>+D5+F5+H5</f>
        <v>100</v>
      </c>
    </row>
    <row r="6" spans="2:7" ht="16.5" customHeight="1">
      <c r="B6" s="33" t="s">
        <v>56</v>
      </c>
      <c r="C6" s="210">
        <v>4</v>
      </c>
      <c r="D6" s="210"/>
      <c r="E6" s="210">
        <v>1</v>
      </c>
      <c r="F6" s="210"/>
      <c r="G6" s="35"/>
    </row>
    <row r="8" spans="1:5" ht="14.25" customHeight="1">
      <c r="A8">
        <v>779</v>
      </c>
      <c r="C8" s="25">
        <f>+'7887 - Esp. Público '!D15/E8</f>
        <v>0</v>
      </c>
      <c r="E8" s="26">
        <v>1000000</v>
      </c>
    </row>
    <row r="9" spans="3:8" ht="14.25" customHeight="1">
      <c r="C9" s="213" t="s">
        <v>50</v>
      </c>
      <c r="D9" s="213"/>
      <c r="E9" s="213"/>
      <c r="F9" s="213"/>
      <c r="G9" s="213" t="s">
        <v>51</v>
      </c>
      <c r="H9" s="213"/>
    </row>
    <row r="10" spans="2:8" ht="14.25" customHeight="1">
      <c r="B10" s="209" t="s">
        <v>52</v>
      </c>
      <c r="C10" s="27" t="s">
        <v>53</v>
      </c>
      <c r="D10" s="27" t="s">
        <v>54</v>
      </c>
      <c r="E10" s="27" t="s">
        <v>55</v>
      </c>
      <c r="F10" s="27" t="s">
        <v>54</v>
      </c>
      <c r="G10" s="28"/>
      <c r="H10" s="29" t="s">
        <v>54</v>
      </c>
    </row>
    <row r="11" spans="2:10" ht="14.25" customHeight="1">
      <c r="B11" s="209"/>
      <c r="C11" s="30">
        <f>+'7887 - Esp. Público '!G18/E8</f>
        <v>285.459112</v>
      </c>
      <c r="D11" s="31" t="e">
        <f>+C11*100/C8</f>
        <v>#DIV/0!</v>
      </c>
      <c r="E11" s="30" t="e">
        <f>(+"$Poblaciones.#REF!#REF!"+"$Poblaciones.#REF!#REF!")/E8</f>
        <v>#VALUE!</v>
      </c>
      <c r="F11" s="31" t="e">
        <f>+E11*100/C8</f>
        <v>#VALUE!</v>
      </c>
      <c r="G11" s="30" t="e">
        <f>(+'7887 - Esp. Público '!G23+"$Poblaciones.#REF!#REF!"+'7887 - Esp. Público '!G24+"$Poblaciones.#REF!#REF!"+"$Poblaciones.#REF!#REF!"+'7887 - Esp. Público '!G30+"$Poblaciones.#REF!#REF!"+"$Poblaciones.#REF!#REF!"+'7887 - Esp. Público '!G31+'7887 - Esp. Público '!G33)/E8</f>
        <v>#VALUE!</v>
      </c>
      <c r="H11" s="32" t="e">
        <f>+G11*100/C8</f>
        <v>#VALUE!</v>
      </c>
      <c r="J11" s="24" t="e">
        <f>+D11+F11+H11</f>
        <v>#DIV/0!</v>
      </c>
    </row>
    <row r="12" spans="2:7" ht="14.25" customHeight="1">
      <c r="B12" s="33" t="s">
        <v>56</v>
      </c>
      <c r="C12" s="210">
        <v>4</v>
      </c>
      <c r="D12" s="210"/>
      <c r="E12" s="210">
        <v>3</v>
      </c>
      <c r="F12" s="210"/>
      <c r="G12" s="35"/>
    </row>
    <row r="14" spans="1:5" ht="14.25" customHeight="1">
      <c r="A14">
        <v>209</v>
      </c>
      <c r="C14" s="25" t="e">
        <f>NA()</f>
        <v>#N/A</v>
      </c>
      <c r="E14" s="26">
        <v>1000000</v>
      </c>
    </row>
    <row r="15" spans="3:8" ht="14.25" customHeight="1">
      <c r="C15" s="213" t="s">
        <v>50</v>
      </c>
      <c r="D15" s="213"/>
      <c r="E15" s="213"/>
      <c r="F15" s="213"/>
      <c r="G15" s="213" t="s">
        <v>51</v>
      </c>
      <c r="H15" s="213"/>
    </row>
    <row r="16" spans="2:8" ht="14.25" customHeight="1">
      <c r="B16" s="209" t="s">
        <v>52</v>
      </c>
      <c r="C16" s="27" t="s">
        <v>53</v>
      </c>
      <c r="D16" s="27" t="s">
        <v>54</v>
      </c>
      <c r="E16" s="27" t="s">
        <v>55</v>
      </c>
      <c r="F16" s="27" t="s">
        <v>54</v>
      </c>
      <c r="G16" s="28"/>
      <c r="H16" s="29" t="s">
        <v>54</v>
      </c>
    </row>
    <row r="17" spans="2:10" ht="14.25" customHeight="1">
      <c r="B17" s="209"/>
      <c r="C17" s="30" t="e">
        <f>NA()</f>
        <v>#N/A</v>
      </c>
      <c r="D17" s="31" t="e">
        <f>+C17*100/C14</f>
        <v>#N/A</v>
      </c>
      <c r="E17" s="30" t="e">
        <f>NA()</f>
        <v>#N/A</v>
      </c>
      <c r="F17" s="31" t="e">
        <f>+E17*100/C14</f>
        <v>#N/A</v>
      </c>
      <c r="G17" s="30" t="e">
        <f>NA()</f>
        <v>#N/A</v>
      </c>
      <c r="H17" s="32" t="e">
        <f>+G17*100/C14</f>
        <v>#N/A</v>
      </c>
      <c r="J17" s="24" t="e">
        <f>+D17+F17+H17</f>
        <v>#N/A</v>
      </c>
    </row>
    <row r="18" spans="2:7" ht="14.25" customHeight="1">
      <c r="B18" s="33" t="s">
        <v>56</v>
      </c>
      <c r="C18" s="210">
        <v>5</v>
      </c>
      <c r="D18" s="210"/>
      <c r="E18" s="210">
        <v>1</v>
      </c>
      <c r="F18" s="210"/>
      <c r="G18" s="35"/>
    </row>
    <row r="20" spans="1:5" ht="14.25" customHeight="1">
      <c r="A20">
        <v>763</v>
      </c>
      <c r="C20" s="25">
        <f>+'7610 - Const. de paz '!D13/E20</f>
        <v>503</v>
      </c>
      <c r="E20" s="26">
        <v>1000000</v>
      </c>
    </row>
    <row r="21" spans="3:8" ht="14.25" customHeight="1">
      <c r="C21" s="213" t="s">
        <v>50</v>
      </c>
      <c r="D21" s="213"/>
      <c r="E21" s="213"/>
      <c r="F21" s="213"/>
      <c r="G21" s="213" t="s">
        <v>51</v>
      </c>
      <c r="H21" s="213"/>
    </row>
    <row r="22" spans="2:8" ht="20.25" customHeight="1">
      <c r="B22" s="209" t="s">
        <v>52</v>
      </c>
      <c r="C22" s="27" t="s">
        <v>53</v>
      </c>
      <c r="D22" s="27" t="s">
        <v>54</v>
      </c>
      <c r="E22" s="27" t="s">
        <v>55</v>
      </c>
      <c r="F22" s="27" t="s">
        <v>54</v>
      </c>
      <c r="G22" s="28"/>
      <c r="H22" s="29" t="s">
        <v>54</v>
      </c>
    </row>
    <row r="23" spans="2:10" ht="14.25" customHeight="1">
      <c r="B23" s="209"/>
      <c r="C23" s="30">
        <f>+'7610 - Const. de paz '!G30/E20</f>
        <v>0</v>
      </c>
      <c r="D23" s="31">
        <f>+C23*100/C20</f>
        <v>0</v>
      </c>
      <c r="E23" s="30" t="e">
        <f>+"$Participación.#REF!#REF!"/E20</f>
        <v>#VALUE!</v>
      </c>
      <c r="F23" s="31" t="e">
        <f>+E23*100/C20</f>
        <v>#VALUE!</v>
      </c>
      <c r="G23" s="30" t="e">
        <f>(+'7610 - Const. de paz '!G18+'7610 - Const. de paz '!G29+'7610 - Const. de paz '!#REF!+'7610 - Const. de paz '!G24+"$Participación.#REF!#REF!"+'7610 - Const. de paz '!G28)/E20</f>
        <v>#REF!</v>
      </c>
      <c r="H23" s="32" t="e">
        <f>+G23*100/C20</f>
        <v>#REF!</v>
      </c>
      <c r="J23" s="24" t="e">
        <f>+D23+F23+H23</f>
        <v>#VALUE!</v>
      </c>
    </row>
    <row r="24" spans="2:7" ht="14.25" customHeight="1">
      <c r="B24" s="33" t="s">
        <v>56</v>
      </c>
      <c r="C24" s="210">
        <v>39</v>
      </c>
      <c r="D24" s="210"/>
      <c r="E24" s="210">
        <v>3</v>
      </c>
      <c r="F24" s="210"/>
      <c r="G24" s="35"/>
    </row>
    <row r="26" spans="1:5" ht="14.25" customHeight="1">
      <c r="A26">
        <v>767</v>
      </c>
      <c r="C26" s="25">
        <f>+'7886 - Patrimonio'!D14/E26</f>
        <v>942.786</v>
      </c>
      <c r="E26" s="26">
        <v>1000000</v>
      </c>
    </row>
    <row r="27" spans="3:8" ht="14.25" customHeight="1">
      <c r="C27" s="213" t="s">
        <v>50</v>
      </c>
      <c r="D27" s="213"/>
      <c r="E27" s="213"/>
      <c r="F27" s="213"/>
      <c r="G27" s="213" t="s">
        <v>51</v>
      </c>
      <c r="H27" s="213"/>
    </row>
    <row r="28" spans="2:8" ht="20.25" customHeight="1">
      <c r="B28" s="209" t="s">
        <v>52</v>
      </c>
      <c r="C28" s="27" t="s">
        <v>53</v>
      </c>
      <c r="D28" s="27" t="s">
        <v>54</v>
      </c>
      <c r="E28" s="27" t="s">
        <v>55</v>
      </c>
      <c r="F28" s="27" t="s">
        <v>54</v>
      </c>
      <c r="G28" s="28"/>
      <c r="H28" s="29" t="s">
        <v>54</v>
      </c>
    </row>
    <row r="29" spans="2:10" ht="14.25" customHeight="1">
      <c r="B29" s="209"/>
      <c r="C29" s="30" t="e">
        <f>+"$Lectura.#REF!#REF!"/E26</f>
        <v>#VALUE!</v>
      </c>
      <c r="D29" s="31" t="e">
        <f>+C29*100/C26</f>
        <v>#VALUE!</v>
      </c>
      <c r="E29" s="30" t="e">
        <f>+"$Lectura.#REF!#REF!"/E26</f>
        <v>#VALUE!</v>
      </c>
      <c r="F29" s="31" t="e">
        <f>+E29*100/C26</f>
        <v>#VALUE!</v>
      </c>
      <c r="G29" s="30" t="e">
        <f>(+'7886 - Patrimonio'!#REF!+"$Lectura.#REF!#REF!"+"$Lectura.#REF!#REF!"+"$Lectura.#REF!#REF!"+'7886 - Patrimonio'!G27+'7886 - Patrimonio'!G29)/E26</f>
        <v>#REF!</v>
      </c>
      <c r="H29" s="32" t="e">
        <f>+G29*100/C26</f>
        <v>#REF!</v>
      </c>
      <c r="J29" s="24" t="e">
        <f>+D29+F29+H29</f>
        <v>#VALUE!</v>
      </c>
    </row>
    <row r="30" spans="2:7" ht="14.25" customHeight="1">
      <c r="B30" s="33" t="s">
        <v>56</v>
      </c>
      <c r="C30" s="210">
        <v>3</v>
      </c>
      <c r="D30" s="210"/>
      <c r="E30" s="210">
        <v>3</v>
      </c>
      <c r="F30" s="210"/>
      <c r="G30" s="35"/>
    </row>
    <row r="32" spans="1:5" ht="14.25" customHeight="1">
      <c r="A32">
        <v>771</v>
      </c>
      <c r="C32" s="25">
        <f>+150000000/E32</f>
        <v>150</v>
      </c>
      <c r="E32" s="26">
        <v>1000000</v>
      </c>
    </row>
    <row r="33" spans="3:8" ht="14.25" customHeight="1">
      <c r="C33" s="213" t="s">
        <v>50</v>
      </c>
      <c r="D33" s="213"/>
      <c r="E33" s="213"/>
      <c r="F33" s="213"/>
      <c r="G33" s="213" t="s">
        <v>51</v>
      </c>
      <c r="H33" s="213"/>
    </row>
    <row r="34" spans="2:8" ht="20.25" customHeight="1">
      <c r="B34" s="209" t="s">
        <v>52</v>
      </c>
      <c r="C34" s="27" t="s">
        <v>53</v>
      </c>
      <c r="D34" s="27" t="s">
        <v>54</v>
      </c>
      <c r="E34" s="27" t="s">
        <v>55</v>
      </c>
      <c r="F34" s="27" t="s">
        <v>54</v>
      </c>
      <c r="G34" s="28"/>
      <c r="H34" s="29" t="s">
        <v>54</v>
      </c>
    </row>
    <row r="35" spans="2:10" ht="14.25" customHeight="1">
      <c r="B35" s="209"/>
      <c r="C35" s="30">
        <v>0</v>
      </c>
      <c r="D35" s="31">
        <f>+C35*100/C32</f>
        <v>0</v>
      </c>
      <c r="E35" s="30">
        <v>0</v>
      </c>
      <c r="F35" s="31">
        <f>+E35*100/C32</f>
        <v>0</v>
      </c>
      <c r="G35" s="30">
        <v>150</v>
      </c>
      <c r="H35" s="32">
        <f>+G35*100/C32</f>
        <v>100</v>
      </c>
      <c r="J35" s="24">
        <f>+D35+F35+H35</f>
        <v>100</v>
      </c>
    </row>
    <row r="36" spans="2:7" ht="14.25" customHeight="1">
      <c r="B36" s="33" t="s">
        <v>56</v>
      </c>
      <c r="C36" s="210">
        <v>0</v>
      </c>
      <c r="D36" s="210"/>
      <c r="E36" s="210">
        <v>0</v>
      </c>
      <c r="F36" s="210"/>
      <c r="G36" s="35"/>
    </row>
    <row r="38" spans="1:5" ht="14.25" customHeight="1">
      <c r="A38">
        <v>773</v>
      </c>
      <c r="C38" s="25">
        <f>+'7650 - Fomento'!D19/E38</f>
        <v>0</v>
      </c>
      <c r="E38" s="26">
        <v>1000000</v>
      </c>
    </row>
    <row r="39" spans="3:8" ht="14.25" customHeight="1">
      <c r="C39" s="213" t="s">
        <v>50</v>
      </c>
      <c r="D39" s="213"/>
      <c r="E39" s="213"/>
      <c r="F39" s="213"/>
      <c r="G39" s="213" t="s">
        <v>51</v>
      </c>
      <c r="H39" s="213"/>
    </row>
    <row r="40" spans="2:8" ht="20.25" customHeight="1">
      <c r="B40" s="209" t="s">
        <v>52</v>
      </c>
      <c r="C40" s="27" t="s">
        <v>53</v>
      </c>
      <c r="D40" s="27" t="s">
        <v>54</v>
      </c>
      <c r="E40" s="27" t="s">
        <v>55</v>
      </c>
      <c r="F40" s="27" t="s">
        <v>54</v>
      </c>
      <c r="G40" s="28"/>
      <c r="H40" s="29" t="s">
        <v>54</v>
      </c>
    </row>
    <row r="41" spans="2:10" ht="14.25" customHeight="1">
      <c r="B41" s="209"/>
      <c r="C41" s="30">
        <f>+'7650 - Fomento'!G46/E38</f>
        <v>0</v>
      </c>
      <c r="D41" s="31" t="e">
        <f>+C41*100/C38</f>
        <v>#DIV/0!</v>
      </c>
      <c r="E41" s="30" t="e">
        <f>(+'7650 - Fomento'!G46+'7650 - Fomento'!G49+'7650 - Fomento'!#REF!)/E38</f>
        <v>#REF!</v>
      </c>
      <c r="F41" s="31" t="e">
        <f>+E41*100/C38</f>
        <v>#REF!</v>
      </c>
      <c r="G41" s="30" t="e">
        <f>+('7650 - Fomento'!G41+'7650 - Fomento'!G45+'7650 - Fomento'!G46+'7650 - Fomento'!#REF!)/E38</f>
        <v>#REF!</v>
      </c>
      <c r="H41" s="32" t="e">
        <f>+G41*100/C38</f>
        <v>#REF!</v>
      </c>
      <c r="J41" s="24" t="e">
        <f>+D41+F41+H41</f>
        <v>#DIV/0!</v>
      </c>
    </row>
    <row r="42" spans="2:7" ht="14.25" customHeight="1">
      <c r="B42" s="33" t="s">
        <v>56</v>
      </c>
      <c r="C42" s="210">
        <v>15</v>
      </c>
      <c r="D42" s="210"/>
      <c r="E42" s="210">
        <v>11</v>
      </c>
      <c r="F42" s="210"/>
      <c r="G42" s="35"/>
    </row>
    <row r="44" spans="1:5" ht="14.25" customHeight="1">
      <c r="A44">
        <v>782</v>
      </c>
      <c r="C44" s="25">
        <f>+'7656 - Internacionalización '!D15/E44</f>
        <v>0</v>
      </c>
      <c r="E44" s="26">
        <v>1000000</v>
      </c>
    </row>
    <row r="45" spans="3:8" ht="14.25" customHeight="1">
      <c r="C45" s="213" t="s">
        <v>50</v>
      </c>
      <c r="D45" s="213"/>
      <c r="E45" s="213"/>
      <c r="F45" s="213"/>
      <c r="G45" s="213" t="s">
        <v>51</v>
      </c>
      <c r="H45" s="213"/>
    </row>
    <row r="46" spans="2:8" ht="20.25" customHeight="1">
      <c r="B46" s="209" t="s">
        <v>52</v>
      </c>
      <c r="C46" s="27" t="s">
        <v>53</v>
      </c>
      <c r="D46" s="27" t="s">
        <v>54</v>
      </c>
      <c r="E46" s="27" t="s">
        <v>55</v>
      </c>
      <c r="F46" s="27" t="s">
        <v>54</v>
      </c>
      <c r="G46" s="28"/>
      <c r="H46" s="29" t="s">
        <v>54</v>
      </c>
    </row>
    <row r="47" spans="2:10" ht="14.25" customHeight="1">
      <c r="B47" s="209"/>
      <c r="C47" s="30">
        <f>+'7656 - Internacionalización '!G19/E44</f>
        <v>63.6418</v>
      </c>
      <c r="D47" s="31" t="e">
        <f>+C47*100/C44</f>
        <v>#DIV/0!</v>
      </c>
      <c r="E47" s="30" t="e">
        <f>(+"$Patrimonio.#REF!#REF!"+'7656 - Internacionalización '!#REF!)/E44</f>
        <v>#VALUE!</v>
      </c>
      <c r="F47" s="31" t="e">
        <f>+E47*100/C44</f>
        <v>#VALUE!</v>
      </c>
      <c r="G47" s="30" t="e">
        <f>+("$Patrimonio.#REF!#REF!"+"$Patrimonio.#REF!#REF!"+"$Patrimonio.#REF!#REF!"+'7656 - Internacionalización '!#REF!+"$Patrimonio.#REF!#REF!")/E44</f>
        <v>#VALUE!</v>
      </c>
      <c r="H47" s="32" t="e">
        <f>+G47*100/C44</f>
        <v>#VALUE!</v>
      </c>
      <c r="J47" s="24" t="e">
        <f>+D47+F47+H47</f>
        <v>#DIV/0!</v>
      </c>
    </row>
    <row r="48" spans="2:7" ht="14.25" customHeight="1">
      <c r="B48" s="33" t="s">
        <v>56</v>
      </c>
      <c r="C48" s="210">
        <v>6</v>
      </c>
      <c r="D48" s="210"/>
      <c r="E48" s="210">
        <v>5</v>
      </c>
      <c r="F48" s="210"/>
      <c r="G48" s="35"/>
    </row>
    <row r="50" spans="1:5" ht="14.25" customHeight="1">
      <c r="A50">
        <v>922</v>
      </c>
      <c r="C50" s="25" t="e">
        <f>+'7884 - Formación'!#REF!/E44</f>
        <v>#REF!</v>
      </c>
      <c r="E50" s="26">
        <v>1000000</v>
      </c>
    </row>
    <row r="51" spans="3:8" ht="14.25" customHeight="1">
      <c r="C51" s="213" t="s">
        <v>50</v>
      </c>
      <c r="D51" s="213"/>
      <c r="E51" s="213"/>
      <c r="F51" s="213"/>
      <c r="G51" s="213" t="s">
        <v>51</v>
      </c>
      <c r="H51" s="213"/>
    </row>
    <row r="52" spans="2:8" ht="14.25" customHeight="1">
      <c r="B52" s="209" t="s">
        <v>52</v>
      </c>
      <c r="C52" s="27" t="s">
        <v>53</v>
      </c>
      <c r="D52" s="27" t="s">
        <v>54</v>
      </c>
      <c r="E52" s="27" t="s">
        <v>55</v>
      </c>
      <c r="F52" s="27" t="s">
        <v>54</v>
      </c>
      <c r="G52" s="28"/>
      <c r="H52" s="29" t="s">
        <v>54</v>
      </c>
    </row>
    <row r="53" spans="2:10" ht="14.25" customHeight="1">
      <c r="B53" s="209"/>
      <c r="C53" s="30">
        <v>0</v>
      </c>
      <c r="D53" s="31" t="e">
        <f>+C53*100/C50</f>
        <v>#REF!</v>
      </c>
      <c r="E53" s="30" t="e">
        <f>+"$'Formación '.#REF!#REF!"/E50</f>
        <v>#VALUE!</v>
      </c>
      <c r="F53" s="31" t="e">
        <f>+E53*100/C50</f>
        <v>#VALUE!</v>
      </c>
      <c r="G53" s="30">
        <f>+'7884 - Formación'!G17/E50</f>
        <v>0</v>
      </c>
      <c r="H53" s="32" t="e">
        <f>+G53*100/C50</f>
        <v>#REF!</v>
      </c>
      <c r="J53" s="24" t="e">
        <f>+D53+F53+H53</f>
        <v>#REF!</v>
      </c>
    </row>
    <row r="54" spans="2:7" ht="14.25" customHeight="1">
      <c r="B54" s="33" t="s">
        <v>56</v>
      </c>
      <c r="C54" s="210">
        <v>0</v>
      </c>
      <c r="D54" s="210"/>
      <c r="E54" s="210">
        <v>2</v>
      </c>
      <c r="F54" s="210"/>
      <c r="G54" s="35"/>
    </row>
    <row r="56" spans="1:5" ht="14.25" customHeight="1">
      <c r="A56">
        <v>720</v>
      </c>
      <c r="C56" s="25">
        <f>+'7654 - Infraestructura'!D17/E56</f>
        <v>47274.921</v>
      </c>
      <c r="E56" s="26">
        <v>1000000</v>
      </c>
    </row>
    <row r="57" spans="3:8" ht="14.25" customHeight="1">
      <c r="C57" s="213" t="s">
        <v>50</v>
      </c>
      <c r="D57" s="213"/>
      <c r="E57" s="213"/>
      <c r="F57" s="213"/>
      <c r="G57" s="213" t="s">
        <v>51</v>
      </c>
      <c r="H57" s="213"/>
    </row>
    <row r="58" spans="2:8" ht="14.25" customHeight="1">
      <c r="B58" s="209" t="s">
        <v>52</v>
      </c>
      <c r="C58" s="27" t="s">
        <v>53</v>
      </c>
      <c r="D58" s="27" t="s">
        <v>54</v>
      </c>
      <c r="E58" s="27" t="s">
        <v>55</v>
      </c>
      <c r="F58" s="27" t="s">
        <v>54</v>
      </c>
      <c r="G58" s="28"/>
      <c r="H58" s="29" t="s">
        <v>54</v>
      </c>
    </row>
    <row r="59" spans="2:10" ht="14.25" customHeight="1">
      <c r="B59" s="209"/>
      <c r="C59" s="30">
        <f>+'7654 - Infraestructura'!G20/E56</f>
        <v>237.058551</v>
      </c>
      <c r="D59" s="31">
        <f>+C59*100/C56</f>
        <v>0.501446741708992</v>
      </c>
      <c r="E59" s="30" t="e">
        <f>+('7654 - Infraestructura'!#REF!+"$'Transparencia '.#REF!#REF!"+'7654 - Infraestructura'!G34)/E56</f>
        <v>#REF!</v>
      </c>
      <c r="F59" s="31" t="e">
        <f>+E59*100/C56</f>
        <v>#REF!</v>
      </c>
      <c r="G59" s="30" t="e">
        <f>+("$'Transparencia '.#REF!#REF!"+'7654 - Infraestructura'!G31+'7654 - Infraestructura'!#REF!)/E56</f>
        <v>#VALUE!</v>
      </c>
      <c r="H59" s="32" t="e">
        <f>+G59*100/C56</f>
        <v>#VALUE!</v>
      </c>
      <c r="J59" s="24" t="e">
        <f>+D59+F59+H59</f>
        <v>#REF!</v>
      </c>
    </row>
    <row r="60" spans="2:7" ht="14.25" customHeight="1">
      <c r="B60" s="33" t="s">
        <v>56</v>
      </c>
      <c r="C60" s="210">
        <v>2</v>
      </c>
      <c r="D60" s="210"/>
      <c r="E60" s="210">
        <v>10</v>
      </c>
      <c r="F60" s="210"/>
      <c r="G60" s="35"/>
    </row>
    <row r="62" spans="1:5" ht="14.25" customHeight="1">
      <c r="A62">
        <v>755</v>
      </c>
      <c r="C62" s="25">
        <f>+'7648 - Territorial '!D15/E62</f>
        <v>3803.835</v>
      </c>
      <c r="E62" s="26">
        <v>1000000</v>
      </c>
    </row>
    <row r="63" spans="3:8" ht="14.25" customHeight="1">
      <c r="C63" s="213" t="s">
        <v>50</v>
      </c>
      <c r="D63" s="213"/>
      <c r="E63" s="213"/>
      <c r="F63" s="213"/>
      <c r="G63" s="213" t="s">
        <v>51</v>
      </c>
      <c r="H63" s="213"/>
    </row>
    <row r="64" spans="2:8" ht="14.25" customHeight="1">
      <c r="B64" s="209" t="s">
        <v>52</v>
      </c>
      <c r="C64" s="27" t="s">
        <v>53</v>
      </c>
      <c r="D64" s="27" t="s">
        <v>54</v>
      </c>
      <c r="E64" s="27" t="s">
        <v>55</v>
      </c>
      <c r="F64" s="27" t="s">
        <v>54</v>
      </c>
      <c r="G64" s="28"/>
      <c r="H64" s="29" t="s">
        <v>54</v>
      </c>
    </row>
    <row r="65" spans="2:10" ht="14.25" customHeight="1">
      <c r="B65" s="209"/>
      <c r="C65" s="30">
        <f>+'7648 - Territorial '!G18/E62</f>
        <v>2810.597201</v>
      </c>
      <c r="D65" s="31">
        <f>+C65*100/C62</f>
        <v>73.88851516955914</v>
      </c>
      <c r="E65" s="30" t="e">
        <f>+"$'Información '.#REF!#REF!"/E62</f>
        <v>#VALUE!</v>
      </c>
      <c r="F65" s="31" t="e">
        <f>+E65*100/C62</f>
        <v>#VALUE!</v>
      </c>
      <c r="G65" s="30">
        <v>0</v>
      </c>
      <c r="H65" s="32">
        <v>0</v>
      </c>
      <c r="J65" s="24" t="e">
        <f>+D65+F65+H65</f>
        <v>#VALUE!</v>
      </c>
    </row>
    <row r="66" spans="2:7" ht="14.25" customHeight="1">
      <c r="B66" s="33" t="s">
        <v>56</v>
      </c>
      <c r="C66" s="210">
        <v>4</v>
      </c>
      <c r="D66" s="210"/>
      <c r="E66" s="210">
        <v>12</v>
      </c>
      <c r="F66" s="210"/>
      <c r="G66" s="35"/>
    </row>
    <row r="68" spans="1:5" ht="14.25" customHeight="1">
      <c r="A68">
        <v>778</v>
      </c>
      <c r="C68" s="25" t="e">
        <f>+'7881 - Des. social'!#REF!/E68</f>
        <v>#REF!</v>
      </c>
      <c r="E68" s="26">
        <v>1000000</v>
      </c>
    </row>
    <row r="69" spans="3:8" ht="14.25" customHeight="1">
      <c r="C69" s="213" t="s">
        <v>50</v>
      </c>
      <c r="D69" s="213"/>
      <c r="E69" s="213"/>
      <c r="F69" s="213"/>
      <c r="G69" s="213" t="s">
        <v>51</v>
      </c>
      <c r="H69" s="213"/>
    </row>
    <row r="70" spans="2:8" ht="14.25" customHeight="1">
      <c r="B70" s="209" t="s">
        <v>52</v>
      </c>
      <c r="C70" s="27" t="s">
        <v>53</v>
      </c>
      <c r="D70" s="27" t="s">
        <v>54</v>
      </c>
      <c r="E70" s="27" t="s">
        <v>55</v>
      </c>
      <c r="F70" s="27" t="s">
        <v>54</v>
      </c>
      <c r="G70" s="28"/>
      <c r="H70" s="29" t="s">
        <v>54</v>
      </c>
    </row>
    <row r="71" spans="2:10" ht="14.25" customHeight="1">
      <c r="B71" s="209"/>
      <c r="C71" s="30" t="e">
        <f>+("$Fortalecimiento.#REF!#REF!"+'7881 - Des. social'!#REF!)/E68</f>
        <v>#VALUE!</v>
      </c>
      <c r="D71" s="31" t="e">
        <f>+C71*100/C68</f>
        <v>#VALUE!</v>
      </c>
      <c r="E71" s="30" t="e">
        <f>+'7881 - Des. social'!G18/E74</f>
        <v>#VALUE!</v>
      </c>
      <c r="F71" s="31" t="e">
        <f>+E71*100/C68</f>
        <v>#VALUE!</v>
      </c>
      <c r="G71" s="30" t="e">
        <f>+('7881 - Des. social'!G19+"$Fortalecimiento.#REF!#REF!")/E68</f>
        <v>#VALUE!</v>
      </c>
      <c r="H71" s="32" t="e">
        <f>+G71*100/C68</f>
        <v>#VALUE!</v>
      </c>
      <c r="J71" s="24" t="e">
        <f>+D71+F71+H71</f>
        <v>#VALUE!</v>
      </c>
    </row>
    <row r="72" spans="2:7" ht="14.25" customHeight="1">
      <c r="B72" s="33" t="s">
        <v>56</v>
      </c>
      <c r="C72" s="210">
        <v>5</v>
      </c>
      <c r="D72" s="210"/>
      <c r="E72" s="210">
        <v>3</v>
      </c>
      <c r="F72" s="210"/>
      <c r="G72" s="35"/>
    </row>
    <row r="74" spans="1:5" ht="14.25" customHeight="1">
      <c r="A74">
        <v>786</v>
      </c>
      <c r="C74" s="25" t="e">
        <f>NA()</f>
        <v>#N/A</v>
      </c>
      <c r="E74" s="26">
        <v>1000000</v>
      </c>
    </row>
    <row r="75" spans="3:8" ht="14.25" customHeight="1">
      <c r="C75" s="213" t="s">
        <v>50</v>
      </c>
      <c r="D75" s="213"/>
      <c r="E75" s="213"/>
      <c r="F75" s="213"/>
      <c r="G75" s="213" t="s">
        <v>51</v>
      </c>
      <c r="H75" s="213"/>
    </row>
    <row r="76" spans="2:8" ht="14.25" customHeight="1">
      <c r="B76" s="209" t="s">
        <v>52</v>
      </c>
      <c r="C76" s="27" t="s">
        <v>53</v>
      </c>
      <c r="D76" s="27" t="s">
        <v>54</v>
      </c>
      <c r="E76" s="27" t="s">
        <v>55</v>
      </c>
      <c r="F76" s="27" t="s">
        <v>54</v>
      </c>
      <c r="G76" s="28"/>
      <c r="H76" s="29" t="s">
        <v>54</v>
      </c>
    </row>
    <row r="77" spans="2:10" ht="14.25" customHeight="1">
      <c r="B77" s="209"/>
      <c r="C77" s="30" t="e">
        <f>NA()</f>
        <v>#N/A</v>
      </c>
      <c r="D77" s="31" t="e">
        <f>+C77*100/C74</f>
        <v>#N/A</v>
      </c>
      <c r="E77" s="30" t="e">
        <f>NA()</f>
        <v>#N/A</v>
      </c>
      <c r="F77" s="31" t="e">
        <f>+E77*100/C74</f>
        <v>#N/A</v>
      </c>
      <c r="G77" s="30" t="e">
        <f>NA()</f>
        <v>#N/A</v>
      </c>
      <c r="H77" s="32" t="e">
        <f>+G77*100/C74</f>
        <v>#N/A</v>
      </c>
      <c r="J77" s="24" t="e">
        <f>+D77+F77+H77</f>
        <v>#N/A</v>
      </c>
    </row>
    <row r="78" spans="2:7" ht="14.25" customHeight="1">
      <c r="B78" s="33" t="s">
        <v>56</v>
      </c>
      <c r="C78" s="210">
        <v>5</v>
      </c>
      <c r="D78" s="210"/>
      <c r="E78" s="210">
        <v>2</v>
      </c>
      <c r="F78" s="210"/>
      <c r="G78" s="35"/>
    </row>
    <row r="80" spans="1:5" ht="14.25" customHeight="1">
      <c r="A80">
        <v>945</v>
      </c>
      <c r="C80" s="25" t="e">
        <f>NA()</f>
        <v>#N/A</v>
      </c>
      <c r="E80" s="26">
        <v>1000000</v>
      </c>
    </row>
    <row r="81" spans="3:8" ht="14.25" customHeight="1">
      <c r="C81" s="213" t="s">
        <v>50</v>
      </c>
      <c r="D81" s="213"/>
      <c r="E81" s="213"/>
      <c r="F81" s="213"/>
      <c r="G81" s="213" t="s">
        <v>51</v>
      </c>
      <c r="H81" s="213"/>
    </row>
    <row r="82" spans="2:8" ht="14.25" customHeight="1">
      <c r="B82" s="209" t="s">
        <v>52</v>
      </c>
      <c r="C82" s="27" t="s">
        <v>53</v>
      </c>
      <c r="D82" s="27" t="s">
        <v>54</v>
      </c>
      <c r="E82" s="27" t="s">
        <v>55</v>
      </c>
      <c r="F82" s="27" t="s">
        <v>54</v>
      </c>
      <c r="G82" s="28"/>
      <c r="H82" s="29" t="s">
        <v>54</v>
      </c>
    </row>
    <row r="83" spans="2:10" ht="14.25" customHeight="1">
      <c r="B83" s="209"/>
      <c r="C83" s="30" t="e">
        <f>NA()</f>
        <v>#N/A</v>
      </c>
      <c r="D83" s="31" t="e">
        <f>+C83*100/C80</f>
        <v>#N/A</v>
      </c>
      <c r="E83" s="30" t="e">
        <f>NA()</f>
        <v>#N/A</v>
      </c>
      <c r="F83" s="31" t="e">
        <f>+E83*100/C80</f>
        <v>#N/A</v>
      </c>
      <c r="G83" s="30" t="e">
        <f>NA()</f>
        <v>#N/A</v>
      </c>
      <c r="H83" s="32" t="e">
        <f>+G83*100/C80</f>
        <v>#N/A</v>
      </c>
      <c r="J83" s="24" t="e">
        <f>+D83+F83+H83</f>
        <v>#N/A</v>
      </c>
    </row>
    <row r="84" spans="2:7" ht="14.25" customHeight="1">
      <c r="B84" s="33" t="s">
        <v>56</v>
      </c>
      <c r="C84" s="210">
        <v>2</v>
      </c>
      <c r="D84" s="210"/>
      <c r="E84" s="210">
        <v>2</v>
      </c>
      <c r="F84" s="210"/>
      <c r="G84" s="35"/>
    </row>
    <row r="86" spans="1:5" ht="14.25" customHeight="1">
      <c r="A86">
        <v>791</v>
      </c>
      <c r="C86" s="25" t="e">
        <f>NA()</f>
        <v>#N/A</v>
      </c>
      <c r="E86" s="26">
        <v>1000000</v>
      </c>
    </row>
    <row r="87" spans="3:8" ht="14.25" customHeight="1">
      <c r="C87" s="213" t="s">
        <v>50</v>
      </c>
      <c r="D87" s="213"/>
      <c r="E87" s="213"/>
      <c r="F87" s="213"/>
      <c r="G87" s="213" t="s">
        <v>51</v>
      </c>
      <c r="H87" s="213"/>
    </row>
    <row r="88" spans="2:18" ht="14.25" customHeight="1">
      <c r="B88" s="209" t="s">
        <v>52</v>
      </c>
      <c r="C88" s="27" t="s">
        <v>53</v>
      </c>
      <c r="D88" s="27" t="s">
        <v>54</v>
      </c>
      <c r="E88" s="27" t="s">
        <v>55</v>
      </c>
      <c r="F88" s="27" t="s">
        <v>54</v>
      </c>
      <c r="G88" s="28"/>
      <c r="H88" s="29" t="s">
        <v>54</v>
      </c>
      <c r="M88" s="211" t="s">
        <v>50</v>
      </c>
      <c r="N88" s="211"/>
      <c r="O88" s="211"/>
      <c r="P88" s="211"/>
      <c r="Q88" s="211" t="s">
        <v>51</v>
      </c>
      <c r="R88" s="211"/>
    </row>
    <row r="89" spans="2:18" ht="27.75" customHeight="1">
      <c r="B89" s="209"/>
      <c r="C89" s="30" t="e">
        <f>NA()</f>
        <v>#N/A</v>
      </c>
      <c r="D89" s="36" t="e">
        <f>+C89*100/C86</f>
        <v>#N/A</v>
      </c>
      <c r="E89" s="30" t="e">
        <f>NA()</f>
        <v>#N/A</v>
      </c>
      <c r="F89" s="31" t="e">
        <f>+E89*100/C86</f>
        <v>#N/A</v>
      </c>
      <c r="G89" s="30" t="e">
        <f>NA()</f>
        <v>#N/A</v>
      </c>
      <c r="H89" s="32" t="e">
        <f>+G89*100/C86</f>
        <v>#N/A</v>
      </c>
      <c r="J89" s="24" t="e">
        <f>+D89+F89+H89</f>
        <v>#N/A</v>
      </c>
      <c r="L89" s="212" t="s">
        <v>52</v>
      </c>
      <c r="M89" s="37" t="s">
        <v>53</v>
      </c>
      <c r="N89" s="37" t="s">
        <v>54</v>
      </c>
      <c r="O89" s="37" t="s">
        <v>55</v>
      </c>
      <c r="P89" s="37" t="s">
        <v>54</v>
      </c>
      <c r="Q89" s="38"/>
      <c r="R89" s="39" t="s">
        <v>54</v>
      </c>
    </row>
    <row r="90" spans="2:18" ht="16.5" customHeight="1">
      <c r="B90" s="33" t="s">
        <v>56</v>
      </c>
      <c r="C90" s="210">
        <v>36</v>
      </c>
      <c r="D90" s="210"/>
      <c r="E90" s="210">
        <v>21</v>
      </c>
      <c r="F90" s="210"/>
      <c r="G90" s="35"/>
      <c r="L90" s="212"/>
      <c r="M90" s="40" t="e">
        <f>+C89+C83+C77+C71+C65+C59+C53+C47+C41+C35+C29+C23+C17+C11+C5</f>
        <v>#N/A</v>
      </c>
      <c r="N90" s="41">
        <v>18.3</v>
      </c>
      <c r="O90" s="40" t="e">
        <f>+E89+E83+E77+E71+E65+E59+E53+E47+E41+E35+E29+E23+E17+E11+E5</f>
        <v>#N/A</v>
      </c>
      <c r="P90" s="41">
        <v>7.3</v>
      </c>
      <c r="Q90" s="40" t="e">
        <f>+G89+G83+G77+G71+G65+G59+G53+G47+G41+G35+G29+G23+G17+G11+G5</f>
        <v>#N/A</v>
      </c>
      <c r="R90" s="42">
        <v>74.4</v>
      </c>
    </row>
    <row r="91" spans="12:16" ht="15.75" customHeight="1">
      <c r="L91" s="43" t="s">
        <v>56</v>
      </c>
      <c r="M91" s="44">
        <f>+C90+C84+C78+C72+C66+C60+C54+C48+C42+C36+C30+C24+C18+C12+C6</f>
        <v>130</v>
      </c>
      <c r="N91" s="44"/>
      <c r="O91" s="44">
        <f>+E90+E84+E78+E72+E66+E60+E54+E48+E42+E36+E30+E24+E18+E12+E6</f>
        <v>79</v>
      </c>
      <c r="P91" s="44"/>
    </row>
    <row r="92" ht="14.25" customHeight="1">
      <c r="C92">
        <v>51974</v>
      </c>
    </row>
    <row r="93" spans="3:8" ht="14.25" customHeight="1">
      <c r="C93" s="213" t="s">
        <v>50</v>
      </c>
      <c r="D93" s="213"/>
      <c r="E93" s="213"/>
      <c r="F93" s="213"/>
      <c r="G93" s="213" t="s">
        <v>51</v>
      </c>
      <c r="H93" s="213"/>
    </row>
    <row r="94" spans="2:8" ht="14.25" customHeight="1">
      <c r="B94" s="209" t="s">
        <v>52</v>
      </c>
      <c r="C94" s="27" t="s">
        <v>53</v>
      </c>
      <c r="D94" s="27" t="s">
        <v>54</v>
      </c>
      <c r="E94" s="27" t="s">
        <v>55</v>
      </c>
      <c r="F94" s="27" t="s">
        <v>54</v>
      </c>
      <c r="G94" s="28"/>
      <c r="H94" s="29" t="s">
        <v>54</v>
      </c>
    </row>
    <row r="95" spans="2:11" ht="14.25" customHeight="1">
      <c r="B95" s="209"/>
      <c r="C95" s="30" t="e">
        <f>+C89+C83+C77+C71+C65+C59+C53+C47+C41+C35+C29+C17+C11+C5+C23</f>
        <v>#N/A</v>
      </c>
      <c r="D95" s="36" t="e">
        <f>+C95*100/C92</f>
        <v>#N/A</v>
      </c>
      <c r="E95" s="30" t="e">
        <f>+E89+E83+E77+E71+E65+E59+E53+E47+E41+E35+E29+E17+E11+E5+E23</f>
        <v>#N/A</v>
      </c>
      <c r="F95" s="31" t="e">
        <f>+E95*100/C92</f>
        <v>#N/A</v>
      </c>
      <c r="G95" s="30" t="e">
        <f>+G89+G83+G77+G71+G65+G59+G53+G47+G41+G35+G29+G17+G11+G5+G23</f>
        <v>#N/A</v>
      </c>
      <c r="H95" s="32" t="e">
        <f>+G95*100/C92</f>
        <v>#N/A</v>
      </c>
      <c r="J95" s="24" t="e">
        <f>+D95+F95+H95</f>
        <v>#N/A</v>
      </c>
      <c r="K95" s="24" t="e">
        <f>+M90+O90+Q90</f>
        <v>#N/A</v>
      </c>
    </row>
    <row r="96" spans="2:7" ht="14.25" customHeight="1">
      <c r="B96" s="33" t="s">
        <v>56</v>
      </c>
      <c r="C96" s="210">
        <f>+C90+C84+C78+C72+C66+C60+C54+C48+C42+C36+C30+C18+C6+C12+C24</f>
        <v>130</v>
      </c>
      <c r="D96" s="210">
        <f>+D90+D84+D78+D72+D66+D60+D54+D48+D42+D36+D30+D18+D6+D12+D24</f>
        <v>0</v>
      </c>
      <c r="E96" s="34">
        <f>+E90+E84+E78+E72+E66+E60+E54+E48+E42+E36+E30+E18+E6+E12+E24</f>
        <v>79</v>
      </c>
      <c r="F96" s="34">
        <f>+F90+F84+F78+F72+F66+F60+F54+F48+F42+F36+F30+F18+F6+F12+F24</f>
        <v>0</v>
      </c>
      <c r="G96" s="35"/>
    </row>
    <row r="97" ht="14.25" customHeight="1">
      <c r="M97">
        <f>+322-198</f>
        <v>124</v>
      </c>
    </row>
    <row r="99" spans="7:13" ht="14.25" customHeight="1">
      <c r="G99" t="e">
        <f>+D95+F95</f>
        <v>#N/A</v>
      </c>
      <c r="M99" t="e">
        <f>+M90+O90-124</f>
        <v>#N/A</v>
      </c>
    </row>
  </sheetData>
  <sheetProtection selectLockedCells="1" selectUnlockedCells="1"/>
  <mergeCells count="82">
    <mergeCell ref="C3:F3"/>
    <mergeCell ref="G3:H3"/>
    <mergeCell ref="B4:B5"/>
    <mergeCell ref="C6:D6"/>
    <mergeCell ref="E6:F6"/>
    <mergeCell ref="C9:F9"/>
    <mergeCell ref="G9:H9"/>
    <mergeCell ref="B10:B11"/>
    <mergeCell ref="C12:D12"/>
    <mergeCell ref="E12:F12"/>
    <mergeCell ref="C15:F15"/>
    <mergeCell ref="G15:H15"/>
    <mergeCell ref="B16:B17"/>
    <mergeCell ref="C18:D18"/>
    <mergeCell ref="E18:F18"/>
    <mergeCell ref="C21:F21"/>
    <mergeCell ref="G21:H21"/>
    <mergeCell ref="B22:B23"/>
    <mergeCell ref="C24:D24"/>
    <mergeCell ref="E24:F24"/>
    <mergeCell ref="C27:F27"/>
    <mergeCell ref="G27:H27"/>
    <mergeCell ref="B28:B29"/>
    <mergeCell ref="C30:D30"/>
    <mergeCell ref="E30:F30"/>
    <mergeCell ref="C33:F33"/>
    <mergeCell ref="G33:H33"/>
    <mergeCell ref="B34:B35"/>
    <mergeCell ref="C36:D36"/>
    <mergeCell ref="E36:F36"/>
    <mergeCell ref="C39:F39"/>
    <mergeCell ref="G39:H39"/>
    <mergeCell ref="B40:B41"/>
    <mergeCell ref="C42:D42"/>
    <mergeCell ref="E42:F42"/>
    <mergeCell ref="C45:F45"/>
    <mergeCell ref="G45:H45"/>
    <mergeCell ref="B46:B47"/>
    <mergeCell ref="C48:D48"/>
    <mergeCell ref="E48:F48"/>
    <mergeCell ref="C51:F51"/>
    <mergeCell ref="G51:H51"/>
    <mergeCell ref="B52:B53"/>
    <mergeCell ref="C54:D54"/>
    <mergeCell ref="E54:F54"/>
    <mergeCell ref="C57:F57"/>
    <mergeCell ref="G57:H57"/>
    <mergeCell ref="B58:B59"/>
    <mergeCell ref="C60:D60"/>
    <mergeCell ref="E60:F60"/>
    <mergeCell ref="C63:F63"/>
    <mergeCell ref="G63:H63"/>
    <mergeCell ref="B64:B65"/>
    <mergeCell ref="C66:D66"/>
    <mergeCell ref="E66:F66"/>
    <mergeCell ref="C69:F69"/>
    <mergeCell ref="G69:H69"/>
    <mergeCell ref="B70:B71"/>
    <mergeCell ref="C72:D72"/>
    <mergeCell ref="E72:F72"/>
    <mergeCell ref="C75:F75"/>
    <mergeCell ref="G75:H75"/>
    <mergeCell ref="B76:B77"/>
    <mergeCell ref="C78:D78"/>
    <mergeCell ref="E78:F78"/>
    <mergeCell ref="C81:F81"/>
    <mergeCell ref="G81:H81"/>
    <mergeCell ref="B82:B83"/>
    <mergeCell ref="C84:D84"/>
    <mergeCell ref="E84:F84"/>
    <mergeCell ref="C87:F87"/>
    <mergeCell ref="G87:H87"/>
    <mergeCell ref="B88:B89"/>
    <mergeCell ref="B94:B95"/>
    <mergeCell ref="C96:D96"/>
    <mergeCell ref="M88:P88"/>
    <mergeCell ref="Q88:R88"/>
    <mergeCell ref="L89:L90"/>
    <mergeCell ref="C90:D90"/>
    <mergeCell ref="E90:F90"/>
    <mergeCell ref="C93:F93"/>
    <mergeCell ref="G93:H93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G31"/>
  <sheetViews>
    <sheetView view="pageBreakPreview" zoomScale="90" zoomScaleSheetLayoutView="90" zoomScalePageLayoutView="0" workbookViewId="0" topLeftCell="A9">
      <selection activeCell="E21" sqref="E21"/>
    </sheetView>
  </sheetViews>
  <sheetFormatPr defaultColWidth="13.7109375" defaultRowHeight="12.75" customHeight="1"/>
  <cols>
    <col min="1" max="1" width="25.8515625" style="1" customWidth="1"/>
    <col min="2" max="2" width="34.00390625" style="1" customWidth="1"/>
    <col min="3" max="3" width="35.00390625" style="1" customWidth="1"/>
    <col min="4" max="4" width="27.8515625" style="1" customWidth="1"/>
    <col min="5" max="5" width="24.00390625" style="1" customWidth="1"/>
    <col min="6" max="6" width="45.140625" style="0" customWidth="1"/>
    <col min="7" max="7" width="17.00390625" style="1" customWidth="1"/>
    <col min="8" max="92" width="13.8515625" style="1" customWidth="1"/>
    <col min="93" max="111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1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</row>
    <row r="6" spans="1:111" ht="26.2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113</v>
      </c>
      <c r="G6" s="13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</row>
    <row r="7" spans="1:7" ht="27.75" customHeight="1">
      <c r="A7" s="7"/>
      <c r="B7" s="8"/>
      <c r="C7" s="8"/>
      <c r="D7" s="8"/>
      <c r="E7" s="82" t="s">
        <v>98</v>
      </c>
      <c r="F7" s="135" t="s">
        <v>114</v>
      </c>
      <c r="G7" s="136"/>
    </row>
    <row r="8" spans="1:7" ht="23.25" customHeight="1">
      <c r="A8" s="79" t="s">
        <v>6</v>
      </c>
      <c r="B8" s="9">
        <v>7880</v>
      </c>
      <c r="C8" s="144" t="s">
        <v>7</v>
      </c>
      <c r="D8" s="144"/>
      <c r="E8" s="126" t="s">
        <v>109</v>
      </c>
      <c r="F8" s="126"/>
      <c r="G8" s="126"/>
    </row>
    <row r="9" spans="1:7" ht="34.5" customHeight="1">
      <c r="A9" s="80" t="s">
        <v>8</v>
      </c>
      <c r="B9" s="137" t="s">
        <v>115</v>
      </c>
      <c r="C9" s="137"/>
      <c r="D9" s="137"/>
      <c r="E9" s="137"/>
      <c r="F9" s="137"/>
      <c r="G9" s="137"/>
    </row>
    <row r="10" spans="1:7" ht="56.25" customHeight="1">
      <c r="A10" s="81" t="s">
        <v>9</v>
      </c>
      <c r="B10" s="138" t="s">
        <v>116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46" t="str">
        <f>+E19</f>
        <v>1-100-F001 -  VA Recursos del distrito </v>
      </c>
      <c r="C13" s="146"/>
      <c r="D13" s="62">
        <f>+G19+G23+G25</f>
        <v>21477293000</v>
      </c>
      <c r="E13" s="12"/>
      <c r="F13" s="12"/>
      <c r="G13" s="12"/>
    </row>
    <row r="14" spans="1:7" ht="17.25" customHeight="1">
      <c r="A14" s="10"/>
      <c r="B14" s="146" t="str">
        <f>+E20</f>
        <v>2-100-I011 -  VA SGP Propósito general cultura  </v>
      </c>
      <c r="C14" s="146"/>
      <c r="D14" s="62">
        <f>+G20</f>
        <v>14087880000</v>
      </c>
      <c r="E14" s="12"/>
      <c r="F14" s="12"/>
      <c r="G14" s="12"/>
    </row>
    <row r="15" spans="1:7" ht="17.25" customHeight="1">
      <c r="A15" s="10"/>
      <c r="B15" s="146" t="str">
        <f>+E21</f>
        <v>1-400-I023 - RF SGP Propósito general </v>
      </c>
      <c r="C15" s="146"/>
      <c r="D15" s="62">
        <f>+G21</f>
        <v>340107000</v>
      </c>
      <c r="E15" s="12"/>
      <c r="F15" s="12"/>
      <c r="G15" s="12"/>
    </row>
    <row r="16" spans="1:7" ht="13.5" customHeight="1">
      <c r="A16" s="10"/>
      <c r="B16" s="147" t="s">
        <v>11</v>
      </c>
      <c r="C16" s="147"/>
      <c r="D16" s="83">
        <f>SUM(D13:D15)</f>
        <v>35905280000</v>
      </c>
      <c r="E16" s="12"/>
      <c r="F16" s="12"/>
      <c r="G16" s="12"/>
    </row>
    <row r="17" spans="1:7" ht="13.5" customHeight="1">
      <c r="A17" s="10"/>
      <c r="B17" s="10"/>
      <c r="C17" s="10"/>
      <c r="D17" s="10"/>
      <c r="E17" s="10"/>
      <c r="F17" s="10"/>
      <c r="G17" s="10"/>
    </row>
    <row r="18" spans="1:7" ht="51" customHeight="1">
      <c r="A18" s="91" t="s">
        <v>12</v>
      </c>
      <c r="B18" s="91" t="s">
        <v>13</v>
      </c>
      <c r="C18" s="91" t="s">
        <v>280</v>
      </c>
      <c r="D18" s="91" t="s">
        <v>14</v>
      </c>
      <c r="E18" s="91" t="s">
        <v>279</v>
      </c>
      <c r="F18" s="91" t="s">
        <v>283</v>
      </c>
      <c r="G18" s="91" t="s">
        <v>10</v>
      </c>
    </row>
    <row r="19" spans="1:7" ht="41.25" customHeight="1">
      <c r="A19" s="151" t="s">
        <v>122</v>
      </c>
      <c r="B19" s="154" t="s">
        <v>118</v>
      </c>
      <c r="C19" s="154" t="s">
        <v>118</v>
      </c>
      <c r="D19" s="154" t="s">
        <v>120</v>
      </c>
      <c r="E19" s="13" t="s">
        <v>282</v>
      </c>
      <c r="F19" s="89" t="s">
        <v>284</v>
      </c>
      <c r="G19" s="90">
        <v>20217956852</v>
      </c>
    </row>
    <row r="20" spans="1:7" ht="41.25" customHeight="1">
      <c r="A20" s="151"/>
      <c r="B20" s="154"/>
      <c r="C20" s="154"/>
      <c r="D20" s="154"/>
      <c r="E20" s="13" t="s">
        <v>289</v>
      </c>
      <c r="F20" s="89" t="s">
        <v>284</v>
      </c>
      <c r="G20" s="67">
        <v>14087880000</v>
      </c>
    </row>
    <row r="21" spans="1:7" ht="41.25" customHeight="1">
      <c r="A21" s="151"/>
      <c r="B21" s="134"/>
      <c r="C21" s="134"/>
      <c r="D21" s="134"/>
      <c r="E21" s="13" t="s">
        <v>342</v>
      </c>
      <c r="F21" s="89" t="s">
        <v>284</v>
      </c>
      <c r="G21" s="67">
        <v>340107000</v>
      </c>
    </row>
    <row r="22" spans="1:7" ht="18.75" customHeight="1">
      <c r="A22" s="152"/>
      <c r="B22" s="148" t="s">
        <v>21</v>
      </c>
      <c r="C22" s="149"/>
      <c r="D22" s="149"/>
      <c r="E22" s="149"/>
      <c r="F22" s="150"/>
      <c r="G22" s="92">
        <f>SUM(G19:G21)</f>
        <v>34645943852</v>
      </c>
    </row>
    <row r="23" spans="1:7" ht="57" customHeight="1">
      <c r="A23" s="153" t="s">
        <v>119</v>
      </c>
      <c r="B23" s="13" t="s">
        <v>119</v>
      </c>
      <c r="C23" s="13" t="s">
        <v>288</v>
      </c>
      <c r="D23" s="13" t="s">
        <v>121</v>
      </c>
      <c r="E23" s="13" t="s">
        <v>282</v>
      </c>
      <c r="F23" s="89" t="s">
        <v>284</v>
      </c>
      <c r="G23" s="67">
        <v>1049336148</v>
      </c>
    </row>
    <row r="24" spans="1:7" ht="18.75" customHeight="1">
      <c r="A24" s="152"/>
      <c r="B24" s="148" t="s">
        <v>21</v>
      </c>
      <c r="C24" s="149"/>
      <c r="D24" s="149"/>
      <c r="E24" s="149"/>
      <c r="F24" s="150"/>
      <c r="G24" s="92">
        <f>+G23</f>
        <v>1049336148</v>
      </c>
    </row>
    <row r="25" spans="1:7" ht="60.75" customHeight="1">
      <c r="A25" s="68" t="s">
        <v>285</v>
      </c>
      <c r="B25" s="13" t="s">
        <v>286</v>
      </c>
      <c r="C25" s="13" t="s">
        <v>287</v>
      </c>
      <c r="D25" s="13" t="s">
        <v>123</v>
      </c>
      <c r="E25" s="13" t="s">
        <v>282</v>
      </c>
      <c r="F25" s="89" t="s">
        <v>284</v>
      </c>
      <c r="G25" s="67">
        <v>210000000</v>
      </c>
    </row>
    <row r="26" spans="1:7" ht="13.5" customHeight="1">
      <c r="A26" s="68"/>
      <c r="B26" s="155" t="s">
        <v>21</v>
      </c>
      <c r="C26" s="156"/>
      <c r="D26" s="156"/>
      <c r="E26" s="156"/>
      <c r="F26" s="157"/>
      <c r="G26" s="84">
        <f>+G25</f>
        <v>210000000</v>
      </c>
    </row>
    <row r="27" spans="1:111" ht="13.5" customHeight="1" thickBot="1">
      <c r="A27" s="128" t="s">
        <v>27</v>
      </c>
      <c r="B27" s="129"/>
      <c r="C27" s="129"/>
      <c r="D27" s="129"/>
      <c r="E27" s="129"/>
      <c r="F27" s="130"/>
      <c r="G27" s="85">
        <f>+G24+G22+G26</f>
        <v>35905280000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</row>
    <row r="28" spans="1:111" ht="13.5" customHeight="1" thickTop="1">
      <c r="A28" s="6"/>
      <c r="B28" s="6"/>
      <c r="C28" s="6"/>
      <c r="D28" s="6"/>
      <c r="E28" s="6"/>
      <c r="F28" s="6" t="s">
        <v>28</v>
      </c>
      <c r="G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</row>
    <row r="29" spans="1:111" ht="13.5" customHeight="1">
      <c r="A29" s="127" t="s">
        <v>29</v>
      </c>
      <c r="B29" s="127"/>
      <c r="C29" s="127"/>
      <c r="D29" s="127"/>
      <c r="E29" s="6"/>
      <c r="F29" s="14" t="s">
        <v>30</v>
      </c>
      <c r="G29" s="15">
        <v>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</row>
    <row r="30" spans="1:111" ht="18" customHeight="1">
      <c r="A30" s="86" t="s">
        <v>31</v>
      </c>
      <c r="B30" s="145" t="s">
        <v>238</v>
      </c>
      <c r="C30" s="145"/>
      <c r="D30" s="145"/>
      <c r="E30" s="6"/>
      <c r="F30" s="14" t="s">
        <v>32</v>
      </c>
      <c r="G30" s="16">
        <v>44469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</row>
    <row r="31" spans="1:111" ht="18" customHeight="1">
      <c r="A31" s="87" t="s">
        <v>33</v>
      </c>
      <c r="B31" s="145" t="s">
        <v>117</v>
      </c>
      <c r="C31" s="145"/>
      <c r="D31" s="145"/>
      <c r="E31" s="6"/>
      <c r="F31" s="6"/>
      <c r="G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</sheetData>
  <sheetProtection selectLockedCells="1" selectUnlockedCells="1"/>
  <mergeCells count="27">
    <mergeCell ref="A19:A22"/>
    <mergeCell ref="A23:A24"/>
    <mergeCell ref="D19:D21"/>
    <mergeCell ref="B31:D31"/>
    <mergeCell ref="C19:C21"/>
    <mergeCell ref="B19:B21"/>
    <mergeCell ref="B26:F26"/>
    <mergeCell ref="B22:F22"/>
    <mergeCell ref="B24:F24"/>
    <mergeCell ref="B15:C15"/>
    <mergeCell ref="B16:C16"/>
    <mergeCell ref="A27:F27"/>
    <mergeCell ref="A29:D29"/>
    <mergeCell ref="B30:D30"/>
    <mergeCell ref="C8:D8"/>
    <mergeCell ref="E8:G8"/>
    <mergeCell ref="B9:G9"/>
    <mergeCell ref="B10:G10"/>
    <mergeCell ref="B12:C12"/>
    <mergeCell ref="B14:C14"/>
    <mergeCell ref="B13:C13"/>
    <mergeCell ref="A1:A3"/>
    <mergeCell ref="B1:E3"/>
    <mergeCell ref="B5:G5"/>
    <mergeCell ref="B6:D6"/>
    <mergeCell ref="F6:G6"/>
    <mergeCell ref="F7:G7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62" r:id="rId2"/>
  <ignoredErrors>
    <ignoredError sqref="B13:C15 D13:D1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E27"/>
  <sheetViews>
    <sheetView view="pageBreakPreview" zoomScale="90" zoomScaleSheetLayoutView="90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5.8515625" style="1" customWidth="1"/>
    <col min="2" max="2" width="39.28125" style="1" customWidth="1"/>
    <col min="3" max="3" width="30.8515625" style="1" customWidth="1"/>
    <col min="4" max="4" width="23.140625" style="1" customWidth="1"/>
    <col min="5" max="5" width="34.00390625" style="1" customWidth="1"/>
    <col min="6" max="6" width="35.28125" style="0" customWidth="1"/>
    <col min="7" max="7" width="20.140625" style="1" customWidth="1"/>
    <col min="8" max="90" width="13.8515625" style="1" customWidth="1"/>
    <col min="91" max="109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09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ht="26.25" customHeight="1">
      <c r="A6" s="78" t="s">
        <v>97</v>
      </c>
      <c r="B6" s="143" t="s">
        <v>111</v>
      </c>
      <c r="C6" s="143"/>
      <c r="D6" s="143"/>
      <c r="E6" s="82" t="s">
        <v>5</v>
      </c>
      <c r="F6" s="158" t="s">
        <v>240</v>
      </c>
      <c r="G6" s="159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1:7" ht="33.75" customHeight="1">
      <c r="A7" s="7"/>
      <c r="B7" s="8"/>
      <c r="C7" s="8"/>
      <c r="D7" s="8"/>
      <c r="E7" s="82" t="s">
        <v>98</v>
      </c>
      <c r="F7" s="158" t="s">
        <v>100</v>
      </c>
      <c r="G7" s="159"/>
    </row>
    <row r="8" spans="1:7" ht="22.5" customHeight="1">
      <c r="A8" s="79" t="s">
        <v>6</v>
      </c>
      <c r="B8" s="9">
        <v>7656</v>
      </c>
      <c r="C8" s="144" t="s">
        <v>7</v>
      </c>
      <c r="D8" s="144"/>
      <c r="E8" s="126" t="s">
        <v>124</v>
      </c>
      <c r="F8" s="126"/>
      <c r="G8" s="126"/>
    </row>
    <row r="9" spans="1:109" s="23" customFormat="1" ht="34.5" customHeight="1">
      <c r="A9" s="80" t="s">
        <v>8</v>
      </c>
      <c r="B9" s="138" t="s">
        <v>125</v>
      </c>
      <c r="C9" s="138"/>
      <c r="D9" s="138"/>
      <c r="E9" s="138"/>
      <c r="F9" s="138"/>
      <c r="G9" s="13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7" ht="76.5" customHeight="1">
      <c r="A10" s="81" t="s">
        <v>9</v>
      </c>
      <c r="B10" s="138" t="s">
        <v>126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46" t="str">
        <f>+E17</f>
        <v>1-100-F001 -  VA Recursos del distrito </v>
      </c>
      <c r="C13" s="146"/>
      <c r="D13" s="62">
        <f>+G17+G19+G21</f>
        <v>134400000</v>
      </c>
      <c r="E13" s="12"/>
      <c r="F13" s="12"/>
      <c r="G13" s="12"/>
    </row>
    <row r="14" spans="1:7" ht="13.5" customHeight="1">
      <c r="A14" s="10"/>
      <c r="B14" s="147" t="s">
        <v>11</v>
      </c>
      <c r="C14" s="147"/>
      <c r="D14" s="83">
        <f>SUM(D13:D13)</f>
        <v>134400000</v>
      </c>
      <c r="E14" s="12"/>
      <c r="F14" s="12"/>
      <c r="G14" s="12"/>
    </row>
    <row r="15" spans="1:7" ht="13.5" customHeight="1">
      <c r="A15" s="10"/>
      <c r="B15" s="10"/>
      <c r="C15" s="10"/>
      <c r="D15" s="10"/>
      <c r="E15" s="10"/>
      <c r="F15" s="10"/>
      <c r="G15" s="10"/>
    </row>
    <row r="16" spans="1:7" ht="51" customHeight="1">
      <c r="A16" s="91" t="s">
        <v>12</v>
      </c>
      <c r="B16" s="91" t="s">
        <v>13</v>
      </c>
      <c r="C16" s="91" t="s">
        <v>280</v>
      </c>
      <c r="D16" s="91" t="s">
        <v>14</v>
      </c>
      <c r="E16" s="91" t="s">
        <v>279</v>
      </c>
      <c r="F16" s="91" t="s">
        <v>283</v>
      </c>
      <c r="G16" s="91" t="s">
        <v>10</v>
      </c>
    </row>
    <row r="17" spans="1:7" ht="96" customHeight="1">
      <c r="A17" s="160" t="s">
        <v>128</v>
      </c>
      <c r="B17" s="96" t="s">
        <v>264</v>
      </c>
      <c r="C17" s="109" t="s">
        <v>290</v>
      </c>
      <c r="D17" s="89" t="s">
        <v>127</v>
      </c>
      <c r="E17" s="13" t="s">
        <v>282</v>
      </c>
      <c r="F17" s="89" t="s">
        <v>284</v>
      </c>
      <c r="G17" s="67">
        <v>63641800</v>
      </c>
    </row>
    <row r="18" spans="1:7" ht="18.75" customHeight="1">
      <c r="A18" s="161"/>
      <c r="B18" s="148" t="s">
        <v>21</v>
      </c>
      <c r="C18" s="149"/>
      <c r="D18" s="149"/>
      <c r="E18" s="149"/>
      <c r="F18" s="150"/>
      <c r="G18" s="92">
        <f>SUM(G17:G17)</f>
        <v>63641800</v>
      </c>
    </row>
    <row r="19" spans="1:7" ht="94.5" customHeight="1">
      <c r="A19" s="161"/>
      <c r="B19" s="13" t="s">
        <v>129</v>
      </c>
      <c r="C19" s="13" t="s">
        <v>291</v>
      </c>
      <c r="D19" s="13" t="s">
        <v>130</v>
      </c>
      <c r="E19" s="13" t="s">
        <v>282</v>
      </c>
      <c r="F19" s="89" t="s">
        <v>284</v>
      </c>
      <c r="G19" s="67">
        <v>63641800</v>
      </c>
    </row>
    <row r="20" spans="1:7" ht="18.75" customHeight="1">
      <c r="A20" s="161"/>
      <c r="B20" s="148" t="s">
        <v>21</v>
      </c>
      <c r="C20" s="149"/>
      <c r="D20" s="149"/>
      <c r="E20" s="149"/>
      <c r="F20" s="150"/>
      <c r="G20" s="92">
        <f>+G19</f>
        <v>63641800</v>
      </c>
    </row>
    <row r="21" spans="1:7" ht="64.5" customHeight="1">
      <c r="A21" s="162"/>
      <c r="B21" s="99" t="s">
        <v>273</v>
      </c>
      <c r="C21" s="110" t="s">
        <v>292</v>
      </c>
      <c r="D21" s="13" t="s">
        <v>274</v>
      </c>
      <c r="E21" s="13" t="s">
        <v>282</v>
      </c>
      <c r="F21" s="89" t="s">
        <v>284</v>
      </c>
      <c r="G21" s="67">
        <v>7116400</v>
      </c>
    </row>
    <row r="22" spans="1:7" ht="13.5" customHeight="1">
      <c r="A22" s="68"/>
      <c r="B22" s="155" t="s">
        <v>21</v>
      </c>
      <c r="C22" s="156"/>
      <c r="D22" s="156"/>
      <c r="E22" s="156"/>
      <c r="F22" s="157"/>
      <c r="G22" s="66">
        <f>+G21</f>
        <v>7116400</v>
      </c>
    </row>
    <row r="23" spans="1:109" ht="13.5" customHeight="1" thickBot="1">
      <c r="A23" s="128" t="s">
        <v>27</v>
      </c>
      <c r="B23" s="129"/>
      <c r="C23" s="129"/>
      <c r="D23" s="129"/>
      <c r="E23" s="129"/>
      <c r="F23" s="130"/>
      <c r="G23" s="85">
        <f>+G20+G18+G22</f>
        <v>134400000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ht="13.5" customHeight="1" thickTop="1">
      <c r="A24" s="6"/>
      <c r="B24" s="6"/>
      <c r="C24" s="6"/>
      <c r="D24" s="6"/>
      <c r="E24" s="6"/>
      <c r="F24" s="6" t="s">
        <v>28</v>
      </c>
      <c r="G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ht="13.5" customHeight="1">
      <c r="A25" s="127" t="s">
        <v>29</v>
      </c>
      <c r="B25" s="127"/>
      <c r="C25" s="127"/>
      <c r="D25" s="127"/>
      <c r="E25" s="6"/>
      <c r="F25" s="14" t="s">
        <v>30</v>
      </c>
      <c r="G25" s="15">
        <v>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ht="18" customHeight="1">
      <c r="A26" s="86" t="s">
        <v>31</v>
      </c>
      <c r="B26" s="145" t="s">
        <v>239</v>
      </c>
      <c r="C26" s="145"/>
      <c r="D26" s="145"/>
      <c r="E26" s="6"/>
      <c r="F26" s="14" t="s">
        <v>32</v>
      </c>
      <c r="G26" s="16">
        <v>44469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ht="18" customHeight="1">
      <c r="A27" s="87" t="s">
        <v>33</v>
      </c>
      <c r="B27" s="145" t="s">
        <v>131</v>
      </c>
      <c r="C27" s="145"/>
      <c r="D27" s="145"/>
      <c r="E27" s="6"/>
      <c r="F27" s="6"/>
      <c r="G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</sheetData>
  <sheetProtection selectLockedCells="1" selectUnlockedCells="1"/>
  <mergeCells count="21">
    <mergeCell ref="F6:G6"/>
    <mergeCell ref="B14:C14"/>
    <mergeCell ref="F7:G7"/>
    <mergeCell ref="A17:A21"/>
    <mergeCell ref="B12:C12"/>
    <mergeCell ref="B26:D26"/>
    <mergeCell ref="B13:C13"/>
    <mergeCell ref="A1:A3"/>
    <mergeCell ref="B1:E3"/>
    <mergeCell ref="B5:G5"/>
    <mergeCell ref="B6:D6"/>
    <mergeCell ref="B18:F18"/>
    <mergeCell ref="C8:D8"/>
    <mergeCell ref="B27:D27"/>
    <mergeCell ref="B20:F20"/>
    <mergeCell ref="B22:F22"/>
    <mergeCell ref="A23:F23"/>
    <mergeCell ref="A25:D25"/>
    <mergeCell ref="B10:G10"/>
    <mergeCell ref="B9:G9"/>
    <mergeCell ref="E8:G8"/>
  </mergeCells>
  <printOptions/>
  <pageMargins left="0.7875" right="0.19652777777777777" top="0.39375" bottom="0.19652777777777777" header="0.5118055555555555" footer="0.5118055555555555"/>
  <pageSetup fitToHeight="1" fitToWidth="1" horizontalDpi="600" verticalDpi="600" orientation="landscape" scale="62" r:id="rId2"/>
  <ignoredErrors>
    <ignoredError sqref="B13 D1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B33"/>
  <sheetViews>
    <sheetView view="pageBreakPreview" zoomScale="90" zoomScaleSheetLayoutView="90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5.8515625" style="1" customWidth="1"/>
    <col min="2" max="2" width="30.28125" style="1" customWidth="1"/>
    <col min="3" max="3" width="31.421875" style="1" customWidth="1"/>
    <col min="4" max="4" width="23.57421875" style="1" customWidth="1"/>
    <col min="5" max="5" width="24.00390625" style="1" customWidth="1"/>
    <col min="6" max="6" width="45.140625" style="0" customWidth="1"/>
    <col min="7" max="7" width="15.421875" style="1" customWidth="1"/>
    <col min="8" max="87" width="13.8515625" style="1" customWidth="1"/>
    <col min="88" max="106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06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30.7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343</v>
      </c>
      <c r="G6" s="13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7" ht="25.5" customHeight="1">
      <c r="A7" s="7"/>
      <c r="B7" s="8"/>
      <c r="C7" s="8"/>
      <c r="D7" s="8"/>
      <c r="E7" s="82" t="s">
        <v>98</v>
      </c>
      <c r="F7" s="135" t="s">
        <v>241</v>
      </c>
      <c r="G7" s="136"/>
    </row>
    <row r="8" spans="1:7" ht="23.25" customHeight="1">
      <c r="A8" s="79" t="s">
        <v>6</v>
      </c>
      <c r="B8" s="9">
        <v>7884</v>
      </c>
      <c r="C8" s="144" t="s">
        <v>7</v>
      </c>
      <c r="D8" s="144"/>
      <c r="E8" s="126" t="s">
        <v>132</v>
      </c>
      <c r="F8" s="126"/>
      <c r="G8" s="126"/>
    </row>
    <row r="9" spans="1:7" ht="34.5" customHeight="1">
      <c r="A9" s="80" t="s">
        <v>8</v>
      </c>
      <c r="B9" s="137" t="s">
        <v>133</v>
      </c>
      <c r="C9" s="137"/>
      <c r="D9" s="137"/>
      <c r="E9" s="137"/>
      <c r="F9" s="137"/>
      <c r="G9" s="137"/>
    </row>
    <row r="10" spans="1:7" ht="76.5" customHeight="1">
      <c r="A10" s="81" t="s">
        <v>9</v>
      </c>
      <c r="B10" s="138" t="s">
        <v>134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+E19</f>
        <v>1-100-F001 -  VA Recursos del distrito </v>
      </c>
      <c r="C13" s="146"/>
      <c r="D13" s="62">
        <f>+G19+G22+G25</f>
        <v>528000000</v>
      </c>
      <c r="E13" s="12"/>
      <c r="F13" s="12"/>
      <c r="G13" s="12"/>
    </row>
    <row r="14" spans="1:7" ht="17.25" customHeight="1">
      <c r="A14" s="10"/>
      <c r="B14" s="177" t="str">
        <f>+E27</f>
        <v>1-100-I036 - VA-Convenios </v>
      </c>
      <c r="C14" s="178"/>
      <c r="D14" s="62">
        <f>+G27</f>
        <v>3764576326</v>
      </c>
      <c r="E14" s="12"/>
      <c r="F14" s="12"/>
      <c r="G14" s="12"/>
    </row>
    <row r="15" spans="1:7" ht="17.25" customHeight="1">
      <c r="A15" s="10"/>
      <c r="B15" s="103" t="str">
        <f>+E20</f>
        <v>1-200-I026 - RB Contribución a las artes escénicas </v>
      </c>
      <c r="C15" s="101"/>
      <c r="D15" s="62">
        <f>+G20+G23</f>
        <v>1100000000</v>
      </c>
      <c r="E15" s="12"/>
      <c r="F15" s="12"/>
      <c r="G15" s="12"/>
    </row>
    <row r="16" spans="1:7" ht="13.5" customHeight="1">
      <c r="A16" s="10"/>
      <c r="B16" s="147" t="s">
        <v>11</v>
      </c>
      <c r="C16" s="147"/>
      <c r="D16" s="83">
        <f>SUM(D13:D15)</f>
        <v>5392576326</v>
      </c>
      <c r="E16" s="12"/>
      <c r="F16" s="12"/>
      <c r="G16" s="12"/>
    </row>
    <row r="17" spans="1:7" ht="13.5" customHeight="1">
      <c r="A17" s="10"/>
      <c r="B17" s="10"/>
      <c r="C17" s="10"/>
      <c r="D17" s="10"/>
      <c r="E17" s="10"/>
      <c r="F17" s="10"/>
      <c r="G17" s="10"/>
    </row>
    <row r="18" spans="1:7" ht="51" customHeight="1">
      <c r="A18" s="91" t="s">
        <v>12</v>
      </c>
      <c r="B18" s="91" t="s">
        <v>13</v>
      </c>
      <c r="C18" s="91" t="s">
        <v>280</v>
      </c>
      <c r="D18" s="91" t="s">
        <v>14</v>
      </c>
      <c r="E18" s="91" t="s">
        <v>279</v>
      </c>
      <c r="F18" s="91" t="s">
        <v>283</v>
      </c>
      <c r="G18" s="91" t="s">
        <v>10</v>
      </c>
    </row>
    <row r="19" spans="1:9" ht="55.5" customHeight="1">
      <c r="A19" s="170" t="s">
        <v>242</v>
      </c>
      <c r="B19" s="165" t="s">
        <v>135</v>
      </c>
      <c r="C19" s="167" t="s">
        <v>294</v>
      </c>
      <c r="D19" s="167" t="s">
        <v>136</v>
      </c>
      <c r="E19" s="13" t="s">
        <v>282</v>
      </c>
      <c r="F19" s="89" t="s">
        <v>284</v>
      </c>
      <c r="G19" s="90">
        <v>176070852</v>
      </c>
      <c r="H19"/>
      <c r="I19" s="215"/>
    </row>
    <row r="20" spans="1:7" ht="55.5" customHeight="1">
      <c r="A20" s="151"/>
      <c r="B20" s="166"/>
      <c r="C20" s="168"/>
      <c r="D20" s="168"/>
      <c r="E20" s="111" t="s">
        <v>296</v>
      </c>
      <c r="F20" s="89" t="s">
        <v>284</v>
      </c>
      <c r="G20" s="90">
        <v>55000000</v>
      </c>
    </row>
    <row r="21" spans="1:7" ht="18.75" customHeight="1">
      <c r="A21" s="151"/>
      <c r="B21" s="148" t="s">
        <v>21</v>
      </c>
      <c r="C21" s="149"/>
      <c r="D21" s="149"/>
      <c r="E21" s="149"/>
      <c r="F21" s="150"/>
      <c r="G21" s="92">
        <f>SUM(G19:G20)</f>
        <v>231070852</v>
      </c>
    </row>
    <row r="22" spans="1:7" ht="48" customHeight="1">
      <c r="A22" s="151"/>
      <c r="B22" s="173" t="s">
        <v>137</v>
      </c>
      <c r="C22" s="169" t="s">
        <v>293</v>
      </c>
      <c r="D22" s="163" t="s">
        <v>138</v>
      </c>
      <c r="E22" s="13" t="s">
        <v>282</v>
      </c>
      <c r="F22" s="89" t="s">
        <v>284</v>
      </c>
      <c r="G22" s="214">
        <v>196139957</v>
      </c>
    </row>
    <row r="23" spans="1:7" ht="48" customHeight="1">
      <c r="A23" s="151"/>
      <c r="B23" s="166"/>
      <c r="C23" s="168"/>
      <c r="D23" s="164"/>
      <c r="E23" s="111" t="s">
        <v>296</v>
      </c>
      <c r="F23" s="89" t="s">
        <v>284</v>
      </c>
      <c r="G23" s="90">
        <v>1045000000</v>
      </c>
    </row>
    <row r="24" spans="1:7" ht="18.75" customHeight="1">
      <c r="A24" s="151"/>
      <c r="B24" s="148" t="s">
        <v>21</v>
      </c>
      <c r="C24" s="149"/>
      <c r="D24" s="149"/>
      <c r="E24" s="149"/>
      <c r="F24" s="150"/>
      <c r="G24" s="92">
        <f>SUM(G22:G23)</f>
        <v>1241139957</v>
      </c>
    </row>
    <row r="25" spans="1:7" ht="65.25" customHeight="1">
      <c r="A25" s="151"/>
      <c r="B25" s="64" t="s">
        <v>139</v>
      </c>
      <c r="C25" s="64" t="s">
        <v>295</v>
      </c>
      <c r="D25" s="13" t="s">
        <v>140</v>
      </c>
      <c r="E25" s="13" t="s">
        <v>282</v>
      </c>
      <c r="F25" s="89" t="s">
        <v>284</v>
      </c>
      <c r="G25" s="67">
        <v>155789191</v>
      </c>
    </row>
    <row r="26" spans="1:7" ht="13.5" customHeight="1">
      <c r="A26" s="151"/>
      <c r="B26" s="148" t="s">
        <v>21</v>
      </c>
      <c r="C26" s="149"/>
      <c r="D26" s="149"/>
      <c r="E26" s="149"/>
      <c r="F26" s="150"/>
      <c r="G26" s="84">
        <f>+G25</f>
        <v>155789191</v>
      </c>
    </row>
    <row r="27" spans="1:7" ht="84.75" customHeight="1">
      <c r="A27" s="151"/>
      <c r="B27" s="64" t="s">
        <v>349</v>
      </c>
      <c r="C27" s="64" t="s">
        <v>349</v>
      </c>
      <c r="D27" s="13" t="s">
        <v>348</v>
      </c>
      <c r="E27" s="13" t="s">
        <v>345</v>
      </c>
      <c r="F27" s="89" t="s">
        <v>284</v>
      </c>
      <c r="G27" s="123">
        <v>3764576326</v>
      </c>
    </row>
    <row r="28" spans="1:7" ht="13.5" customHeight="1">
      <c r="A28" s="171"/>
      <c r="B28" s="148" t="s">
        <v>21</v>
      </c>
      <c r="C28" s="149"/>
      <c r="D28" s="149"/>
      <c r="E28" s="149"/>
      <c r="F28" s="150"/>
      <c r="G28" s="84">
        <f>+G27</f>
        <v>3764576326</v>
      </c>
    </row>
    <row r="29" spans="1:106" ht="13.5" customHeight="1" thickBot="1">
      <c r="A29" s="128" t="s">
        <v>27</v>
      </c>
      <c r="B29" s="129"/>
      <c r="C29" s="129"/>
      <c r="D29" s="129"/>
      <c r="E29" s="129"/>
      <c r="F29" s="130"/>
      <c r="G29" s="85">
        <f>+G24+G21+G28+G26</f>
        <v>5392576326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06" ht="13.5" customHeight="1" thickTop="1">
      <c r="A30" s="6"/>
      <c r="B30" s="6"/>
      <c r="C30" s="6"/>
      <c r="D30" s="6"/>
      <c r="E30" s="6"/>
      <c r="F30" s="6" t="s">
        <v>28</v>
      </c>
      <c r="G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06" ht="13.5" customHeight="1">
      <c r="A31" s="127" t="s">
        <v>29</v>
      </c>
      <c r="B31" s="127"/>
      <c r="C31" s="127"/>
      <c r="D31" s="127"/>
      <c r="E31" s="6"/>
      <c r="F31" s="14" t="s">
        <v>30</v>
      </c>
      <c r="G31" s="15">
        <v>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ht="18" customHeight="1">
      <c r="A32" s="86" t="s">
        <v>31</v>
      </c>
      <c r="B32" s="145" t="s">
        <v>298</v>
      </c>
      <c r="C32" s="145"/>
      <c r="D32" s="145"/>
      <c r="E32" s="6"/>
      <c r="F32" s="14" t="s">
        <v>32</v>
      </c>
      <c r="G32" s="16">
        <v>44469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 ht="18" customHeight="1">
      <c r="A33" s="87" t="s">
        <v>33</v>
      </c>
      <c r="B33" s="145" t="s">
        <v>299</v>
      </c>
      <c r="C33" s="145"/>
      <c r="D33" s="145"/>
      <c r="E33" s="6"/>
      <c r="F33" s="6"/>
      <c r="G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</sheetData>
  <sheetProtection selectLockedCells="1" selectUnlockedCells="1"/>
  <mergeCells count="29">
    <mergeCell ref="B26:F26"/>
    <mergeCell ref="B14:C14"/>
    <mergeCell ref="F7:G7"/>
    <mergeCell ref="B33:D33"/>
    <mergeCell ref="B16:C16"/>
    <mergeCell ref="B21:F21"/>
    <mergeCell ref="B24:F24"/>
    <mergeCell ref="B28:F28"/>
    <mergeCell ref="A29:F29"/>
    <mergeCell ref="B32:D32"/>
    <mergeCell ref="A31:D31"/>
    <mergeCell ref="B22:B23"/>
    <mergeCell ref="A19:A28"/>
    <mergeCell ref="B12:C12"/>
    <mergeCell ref="B13:C13"/>
    <mergeCell ref="B10:G10"/>
    <mergeCell ref="C8:D8"/>
    <mergeCell ref="A1:A3"/>
    <mergeCell ref="B1:E3"/>
    <mergeCell ref="B5:G5"/>
    <mergeCell ref="B6:D6"/>
    <mergeCell ref="F6:G6"/>
    <mergeCell ref="D22:D23"/>
    <mergeCell ref="B9:G9"/>
    <mergeCell ref="E8:G8"/>
    <mergeCell ref="B19:B20"/>
    <mergeCell ref="C19:C20"/>
    <mergeCell ref="D19:D20"/>
    <mergeCell ref="C22:C23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57" r:id="rId2"/>
  <ignoredErrors>
    <ignoredError sqref="B15:C15 B13:D13 D14:D15 B1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E29"/>
  <sheetViews>
    <sheetView view="pageBreakPreview" zoomScale="90" zoomScaleSheetLayoutView="90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5.8515625" style="1" customWidth="1"/>
    <col min="2" max="2" width="34.140625" style="1" customWidth="1"/>
    <col min="3" max="3" width="35.140625" style="1" customWidth="1"/>
    <col min="4" max="4" width="27.28125" style="1" customWidth="1"/>
    <col min="5" max="5" width="27.00390625" style="1" customWidth="1"/>
    <col min="6" max="6" width="43.7109375" style="0" customWidth="1"/>
    <col min="7" max="7" width="17.00390625" style="1" customWidth="1"/>
    <col min="8" max="90" width="13.8515625" style="1" customWidth="1"/>
    <col min="91" max="109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09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ht="26.2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148</v>
      </c>
      <c r="G6" s="13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1:7" ht="24.75" customHeight="1">
      <c r="A7" s="7"/>
      <c r="B7" s="8"/>
      <c r="C7" s="8"/>
      <c r="D7" s="8"/>
      <c r="E7" s="82" t="s">
        <v>98</v>
      </c>
      <c r="F7" s="135" t="s">
        <v>114</v>
      </c>
      <c r="G7" s="136"/>
    </row>
    <row r="8" spans="1:7" ht="23.25" customHeight="1">
      <c r="A8" s="79" t="s">
        <v>6</v>
      </c>
      <c r="B8" s="9">
        <v>7648</v>
      </c>
      <c r="C8" s="144" t="s">
        <v>7</v>
      </c>
      <c r="D8" s="144"/>
      <c r="E8" s="126" t="s">
        <v>141</v>
      </c>
      <c r="F8" s="126"/>
      <c r="G8" s="126"/>
    </row>
    <row r="9" spans="1:7" ht="25.5" customHeight="1">
      <c r="A9" s="80" t="s">
        <v>8</v>
      </c>
      <c r="B9" s="137" t="s">
        <v>245</v>
      </c>
      <c r="C9" s="137"/>
      <c r="D9" s="137"/>
      <c r="E9" s="137"/>
      <c r="F9" s="137"/>
      <c r="G9" s="137"/>
    </row>
    <row r="10" spans="1:7" ht="86.25" customHeight="1">
      <c r="A10" s="81" t="s">
        <v>9</v>
      </c>
      <c r="B10" s="138" t="s">
        <v>149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300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+E18</f>
        <v>1-100-F001 -  VA Recursos del distrito </v>
      </c>
      <c r="C13" s="146"/>
      <c r="D13" s="62">
        <f>+G18+G22+G20</f>
        <v>3777000000</v>
      </c>
      <c r="E13" s="12"/>
      <c r="F13" s="12"/>
      <c r="G13" s="12"/>
    </row>
    <row r="14" spans="1:7" ht="17.25" customHeight="1">
      <c r="A14" s="10"/>
      <c r="B14" s="172" t="str">
        <f>+E23</f>
        <v>1-100- I026 - VA Impuesto al Consumo de Telefonía Móvil</v>
      </c>
      <c r="C14" s="146"/>
      <c r="D14" s="62">
        <f>+G23</f>
        <v>26835000</v>
      </c>
      <c r="E14" s="12"/>
      <c r="F14" s="12"/>
      <c r="G14" s="12"/>
    </row>
    <row r="15" spans="1:7" ht="13.5" customHeight="1">
      <c r="A15" s="10"/>
      <c r="B15" s="147" t="s">
        <v>11</v>
      </c>
      <c r="C15" s="147"/>
      <c r="D15" s="83">
        <f>SUM(D13:D14)</f>
        <v>3803835000</v>
      </c>
      <c r="E15" s="12"/>
      <c r="F15" s="12"/>
      <c r="G15" s="12"/>
    </row>
    <row r="16" spans="1:7" ht="13.5" customHeight="1">
      <c r="A16" s="10"/>
      <c r="B16" s="10"/>
      <c r="C16" s="10"/>
      <c r="D16" s="10"/>
      <c r="E16" s="10"/>
      <c r="F16" s="10"/>
      <c r="G16" s="10"/>
    </row>
    <row r="17" spans="1:7" ht="51" customHeight="1">
      <c r="A17" s="91" t="s">
        <v>12</v>
      </c>
      <c r="B17" s="91" t="s">
        <v>13</v>
      </c>
      <c r="C17" s="91" t="s">
        <v>280</v>
      </c>
      <c r="D17" s="91" t="s">
        <v>14</v>
      </c>
      <c r="E17" s="91" t="s">
        <v>279</v>
      </c>
      <c r="F17" s="91" t="s">
        <v>283</v>
      </c>
      <c r="G17" s="91" t="s">
        <v>10</v>
      </c>
    </row>
    <row r="18" spans="1:7" ht="92.25" customHeight="1">
      <c r="A18" s="175" t="s">
        <v>244</v>
      </c>
      <c r="B18" s="104" t="s">
        <v>142</v>
      </c>
      <c r="C18" s="104" t="s">
        <v>142</v>
      </c>
      <c r="D18" s="104" t="s">
        <v>143</v>
      </c>
      <c r="E18" s="13" t="s">
        <v>282</v>
      </c>
      <c r="F18" s="89" t="s">
        <v>284</v>
      </c>
      <c r="G18" s="214">
        <v>2810597201</v>
      </c>
    </row>
    <row r="19" spans="1:7" ht="18.75" customHeight="1">
      <c r="A19" s="176"/>
      <c r="B19" s="148" t="s">
        <v>21</v>
      </c>
      <c r="C19" s="149"/>
      <c r="D19" s="149"/>
      <c r="E19" s="149"/>
      <c r="F19" s="150"/>
      <c r="G19" s="92">
        <f>SUM(G18:G18)</f>
        <v>2810597201</v>
      </c>
    </row>
    <row r="20" spans="1:7" ht="97.5" customHeight="1">
      <c r="A20" s="151" t="s">
        <v>244</v>
      </c>
      <c r="B20" s="104" t="s">
        <v>144</v>
      </c>
      <c r="C20" s="104" t="s">
        <v>144</v>
      </c>
      <c r="D20" s="104" t="s">
        <v>145</v>
      </c>
      <c r="E20" s="13" t="s">
        <v>282</v>
      </c>
      <c r="F20" s="89" t="s">
        <v>284</v>
      </c>
      <c r="G20" s="67">
        <v>340968213</v>
      </c>
    </row>
    <row r="21" spans="1:7" ht="18.75" customHeight="1">
      <c r="A21" s="152"/>
      <c r="B21" s="148" t="s">
        <v>21</v>
      </c>
      <c r="C21" s="149"/>
      <c r="D21" s="149"/>
      <c r="E21" s="149"/>
      <c r="F21" s="150"/>
      <c r="G21" s="92">
        <f>SUM(G20:G20)</f>
        <v>340968213</v>
      </c>
    </row>
    <row r="22" spans="1:7" ht="48" customHeight="1">
      <c r="A22" s="153" t="s">
        <v>243</v>
      </c>
      <c r="B22" s="174" t="s">
        <v>146</v>
      </c>
      <c r="C22" s="174" t="s">
        <v>146</v>
      </c>
      <c r="D22" s="174" t="s">
        <v>147</v>
      </c>
      <c r="E22" s="13" t="s">
        <v>282</v>
      </c>
      <c r="F22" s="89" t="s">
        <v>284</v>
      </c>
      <c r="G22" s="67">
        <v>625434586</v>
      </c>
    </row>
    <row r="23" spans="1:7" ht="48" customHeight="1">
      <c r="A23" s="151"/>
      <c r="B23" s="134"/>
      <c r="C23" s="134"/>
      <c r="D23" s="134" t="s">
        <v>147</v>
      </c>
      <c r="E23" s="13" t="s">
        <v>303</v>
      </c>
      <c r="F23" s="89" t="s">
        <v>284</v>
      </c>
      <c r="G23" s="67">
        <v>26835000</v>
      </c>
    </row>
    <row r="24" spans="1:7" ht="13.5" customHeight="1">
      <c r="A24" s="171"/>
      <c r="B24" s="148" t="s">
        <v>21</v>
      </c>
      <c r="C24" s="149"/>
      <c r="D24" s="149"/>
      <c r="E24" s="149"/>
      <c r="F24" s="150"/>
      <c r="G24" s="84">
        <f>SUM(G22:G23)</f>
        <v>652269586</v>
      </c>
    </row>
    <row r="25" spans="1:109" ht="13.5" customHeight="1" thickBot="1">
      <c r="A25" s="128" t="s">
        <v>27</v>
      </c>
      <c r="B25" s="129"/>
      <c r="C25" s="129"/>
      <c r="D25" s="129"/>
      <c r="E25" s="129"/>
      <c r="F25" s="130"/>
      <c r="G25" s="85">
        <f>+G21+G19+G24</f>
        <v>3803835000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ht="13.5" customHeight="1" thickTop="1">
      <c r="A26" s="6"/>
      <c r="B26" s="6"/>
      <c r="C26" s="6"/>
      <c r="D26" s="6"/>
      <c r="E26" s="6"/>
      <c r="F26" s="6" t="s">
        <v>28</v>
      </c>
      <c r="G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ht="13.5" customHeight="1">
      <c r="A27" s="127" t="s">
        <v>29</v>
      </c>
      <c r="B27" s="127"/>
      <c r="C27" s="127"/>
      <c r="D27" s="127"/>
      <c r="E27" s="6"/>
      <c r="F27" s="14" t="s">
        <v>30</v>
      </c>
      <c r="G27" s="15">
        <v>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ht="18" customHeight="1">
      <c r="A28" s="86" t="s">
        <v>31</v>
      </c>
      <c r="B28" s="145" t="s">
        <v>301</v>
      </c>
      <c r="C28" s="145"/>
      <c r="D28" s="145"/>
      <c r="E28" s="6"/>
      <c r="F28" s="14" t="s">
        <v>32</v>
      </c>
      <c r="G28" s="16">
        <v>44469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1:109" ht="18" customHeight="1">
      <c r="A29" s="87" t="s">
        <v>33</v>
      </c>
      <c r="B29" s="145" t="s">
        <v>302</v>
      </c>
      <c r="C29" s="145"/>
      <c r="D29" s="145"/>
      <c r="E29" s="6"/>
      <c r="F29" s="6"/>
      <c r="G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</sheetData>
  <sheetProtection selectLockedCells="1" selectUnlockedCells="1"/>
  <mergeCells count="27">
    <mergeCell ref="C8:D8"/>
    <mergeCell ref="E8:G8"/>
    <mergeCell ref="B13:C13"/>
    <mergeCell ref="B29:D29"/>
    <mergeCell ref="B19:F19"/>
    <mergeCell ref="B15:C15"/>
    <mergeCell ref="B28:D28"/>
    <mergeCell ref="B22:B23"/>
    <mergeCell ref="B9:G9"/>
    <mergeCell ref="A25:F25"/>
    <mergeCell ref="A1:A3"/>
    <mergeCell ref="B1:E3"/>
    <mergeCell ref="B5:G5"/>
    <mergeCell ref="B6:D6"/>
    <mergeCell ref="F6:G6"/>
    <mergeCell ref="C22:C23"/>
    <mergeCell ref="B10:G10"/>
    <mergeCell ref="A22:A24"/>
    <mergeCell ref="A18:A19"/>
    <mergeCell ref="F7:G7"/>
    <mergeCell ref="A27:D27"/>
    <mergeCell ref="D22:D23"/>
    <mergeCell ref="B12:C12"/>
    <mergeCell ref="A20:A21"/>
    <mergeCell ref="B21:F21"/>
    <mergeCell ref="B24:F24"/>
    <mergeCell ref="B14:C14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62" r:id="rId2"/>
  <ignoredErrors>
    <ignoredError sqref="B13:C14 D13:D1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A39"/>
  <sheetViews>
    <sheetView view="pageBreakPreview" zoomScale="90" zoomScaleSheetLayoutView="90" zoomScalePageLayoutView="0" workbookViewId="0" topLeftCell="A21">
      <selection activeCell="B26" sqref="B26:F26"/>
    </sheetView>
  </sheetViews>
  <sheetFormatPr defaultColWidth="13.7109375" defaultRowHeight="12.75" customHeight="1"/>
  <cols>
    <col min="1" max="1" width="25.8515625" style="1" customWidth="1"/>
    <col min="2" max="2" width="34.140625" style="1" customWidth="1"/>
    <col min="3" max="3" width="36.57421875" style="1" customWidth="1"/>
    <col min="4" max="4" width="26.28125" style="1" customWidth="1"/>
    <col min="5" max="5" width="33.28125" style="1" customWidth="1"/>
    <col min="6" max="6" width="39.00390625" style="0" customWidth="1"/>
    <col min="7" max="7" width="17.00390625" style="1" customWidth="1"/>
    <col min="8" max="86" width="13.8515625" style="1" customWidth="1"/>
    <col min="87" max="105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05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05" ht="26.2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148</v>
      </c>
      <c r="G6" s="13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7" ht="24" customHeight="1">
      <c r="A7" s="7"/>
      <c r="B7" s="8"/>
      <c r="C7" s="8"/>
      <c r="D7" s="8"/>
      <c r="E7" s="82" t="s">
        <v>98</v>
      </c>
      <c r="F7" s="135" t="s">
        <v>114</v>
      </c>
      <c r="G7" s="136"/>
    </row>
    <row r="8" spans="1:7" ht="23.25" customHeight="1">
      <c r="A8" s="79" t="s">
        <v>6</v>
      </c>
      <c r="B8" s="9">
        <v>7650</v>
      </c>
      <c r="C8" s="144" t="s">
        <v>7</v>
      </c>
      <c r="D8" s="144"/>
      <c r="E8" s="126" t="s">
        <v>150</v>
      </c>
      <c r="F8" s="126"/>
      <c r="G8" s="126"/>
    </row>
    <row r="9" spans="1:7" ht="24.75" customHeight="1">
      <c r="A9" s="80" t="s">
        <v>8</v>
      </c>
      <c r="B9" s="179" t="s">
        <v>155</v>
      </c>
      <c r="C9" s="179"/>
      <c r="D9" s="179"/>
      <c r="E9" s="179"/>
      <c r="F9" s="179"/>
      <c r="G9" s="179"/>
    </row>
    <row r="10" spans="1:7" ht="83.25" customHeight="1">
      <c r="A10" s="81" t="s">
        <v>9</v>
      </c>
      <c r="B10" s="180" t="s">
        <v>156</v>
      </c>
      <c r="C10" s="180"/>
      <c r="D10" s="180"/>
      <c r="E10" s="180"/>
      <c r="F10" s="180"/>
      <c r="G10" s="180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300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+E21</f>
        <v>1-100-F001 -  VA Recursos del distrito </v>
      </c>
      <c r="C13" s="146"/>
      <c r="D13" s="62">
        <f>+G21+G27+G29+G31+G33</f>
        <v>7036046000</v>
      </c>
      <c r="E13" s="12"/>
      <c r="F13" s="12"/>
      <c r="G13" s="12"/>
    </row>
    <row r="14" spans="1:7" ht="17.25" customHeight="1">
      <c r="A14" s="10"/>
      <c r="B14" s="71" t="str">
        <f>+E22</f>
        <v>1-200-I026 - RB Contribución a las artes escénicas </v>
      </c>
      <c r="C14" s="70"/>
      <c r="D14" s="62">
        <f>+G22</f>
        <v>5300000000</v>
      </c>
      <c r="E14" s="12"/>
      <c r="F14" s="12"/>
      <c r="G14" s="12"/>
    </row>
    <row r="15" spans="1:7" ht="17.25" customHeight="1">
      <c r="A15" s="10"/>
      <c r="B15" s="177" t="str">
        <f>+E23</f>
        <v>1-400-006 - RF Contribución a las artes escénicas </v>
      </c>
      <c r="C15" s="178"/>
      <c r="D15" s="62">
        <f>+G23</f>
        <v>1053362000</v>
      </c>
      <c r="E15" s="12"/>
      <c r="F15" s="12"/>
      <c r="G15" s="12"/>
    </row>
    <row r="16" spans="1:7" ht="17.25" customHeight="1">
      <c r="A16" s="10"/>
      <c r="B16" s="71" t="s">
        <v>289</v>
      </c>
      <c r="C16" s="125"/>
      <c r="D16" s="62">
        <f>+G24</f>
        <v>100000000</v>
      </c>
      <c r="E16" s="12"/>
      <c r="F16" s="12"/>
      <c r="G16" s="12"/>
    </row>
    <row r="17" spans="1:7" ht="17.25" customHeight="1">
      <c r="A17" s="10"/>
      <c r="B17" s="177" t="str">
        <f>+E25</f>
        <v>1-100-I036 - VA-Convenios </v>
      </c>
      <c r="C17" s="178"/>
      <c r="D17" s="62">
        <f>+G25</f>
        <v>6173197331</v>
      </c>
      <c r="E17" s="12"/>
      <c r="F17" s="12"/>
      <c r="G17" s="12"/>
    </row>
    <row r="18" spans="1:7" ht="13.5" customHeight="1">
      <c r="A18" s="10"/>
      <c r="B18" s="147" t="s">
        <v>11</v>
      </c>
      <c r="C18" s="147"/>
      <c r="D18" s="83">
        <f>SUM(D13:D17)</f>
        <v>19662605331</v>
      </c>
      <c r="E18" s="12"/>
      <c r="F18" s="12"/>
      <c r="G18" s="12"/>
    </row>
    <row r="19" spans="1:7" ht="13.5" customHeight="1">
      <c r="A19" s="10"/>
      <c r="B19" s="10"/>
      <c r="C19" s="10"/>
      <c r="D19" s="10"/>
      <c r="E19" s="10"/>
      <c r="F19" s="10"/>
      <c r="G19" s="10"/>
    </row>
    <row r="20" spans="1:7" ht="51" customHeight="1">
      <c r="A20" s="91" t="s">
        <v>12</v>
      </c>
      <c r="B20" s="91" t="s">
        <v>13</v>
      </c>
      <c r="C20" s="91" t="s">
        <v>280</v>
      </c>
      <c r="D20" s="91" t="s">
        <v>14</v>
      </c>
      <c r="E20" s="91" t="s">
        <v>279</v>
      </c>
      <c r="F20" s="91" t="s">
        <v>283</v>
      </c>
      <c r="G20" s="91" t="s">
        <v>10</v>
      </c>
    </row>
    <row r="21" spans="1:7" ht="33" customHeight="1">
      <c r="A21" s="170" t="s">
        <v>246</v>
      </c>
      <c r="B21" s="154" t="s">
        <v>151</v>
      </c>
      <c r="C21" s="154" t="s">
        <v>304</v>
      </c>
      <c r="D21" s="154" t="s">
        <v>152</v>
      </c>
      <c r="E21" s="13" t="s">
        <v>282</v>
      </c>
      <c r="F21" s="89" t="s">
        <v>284</v>
      </c>
      <c r="G21" s="90">
        <v>6205600000</v>
      </c>
    </row>
    <row r="22" spans="1:7" ht="33" customHeight="1">
      <c r="A22" s="151"/>
      <c r="B22" s="154"/>
      <c r="C22" s="154"/>
      <c r="D22" s="154"/>
      <c r="E22" s="111" t="s">
        <v>296</v>
      </c>
      <c r="F22" s="89" t="s">
        <v>284</v>
      </c>
      <c r="G22" s="90">
        <v>5300000000</v>
      </c>
    </row>
    <row r="23" spans="1:7" ht="33" customHeight="1">
      <c r="A23" s="151"/>
      <c r="B23" s="154"/>
      <c r="C23" s="154"/>
      <c r="D23" s="154"/>
      <c r="E23" s="13" t="s">
        <v>307</v>
      </c>
      <c r="F23" s="89" t="s">
        <v>284</v>
      </c>
      <c r="G23" s="67">
        <v>1053362000</v>
      </c>
    </row>
    <row r="24" spans="1:7" ht="33" customHeight="1">
      <c r="A24" s="151"/>
      <c r="B24" s="154"/>
      <c r="C24" s="154"/>
      <c r="D24" s="154"/>
      <c r="E24" s="13" t="s">
        <v>289</v>
      </c>
      <c r="F24" s="89" t="s">
        <v>284</v>
      </c>
      <c r="G24" s="67">
        <v>100000000</v>
      </c>
    </row>
    <row r="25" spans="1:7" ht="33" customHeight="1">
      <c r="A25" s="151"/>
      <c r="B25" s="154"/>
      <c r="C25" s="154"/>
      <c r="D25" s="154"/>
      <c r="E25" s="13" t="s">
        <v>345</v>
      </c>
      <c r="F25" s="89" t="s">
        <v>284</v>
      </c>
      <c r="G25" s="67">
        <v>6173197331</v>
      </c>
    </row>
    <row r="26" spans="1:7" ht="18.75" customHeight="1">
      <c r="A26" s="151"/>
      <c r="B26" s="148" t="s">
        <v>21</v>
      </c>
      <c r="C26" s="149"/>
      <c r="D26" s="149"/>
      <c r="E26" s="149"/>
      <c r="F26" s="150"/>
      <c r="G26" s="92">
        <f>SUM(G21:G25)</f>
        <v>18832159331</v>
      </c>
    </row>
    <row r="27" spans="1:7" ht="72" customHeight="1">
      <c r="A27" s="151"/>
      <c r="B27" s="64" t="s">
        <v>153</v>
      </c>
      <c r="C27" s="64" t="s">
        <v>247</v>
      </c>
      <c r="D27" s="13" t="s">
        <v>154</v>
      </c>
      <c r="E27" s="13" t="s">
        <v>282</v>
      </c>
      <c r="F27" s="89" t="s">
        <v>284</v>
      </c>
      <c r="G27" s="123">
        <v>373787000</v>
      </c>
    </row>
    <row r="28" spans="1:7" ht="13.5" customHeight="1">
      <c r="A28" s="151"/>
      <c r="B28" s="148" t="s">
        <v>21</v>
      </c>
      <c r="C28" s="149"/>
      <c r="D28" s="149"/>
      <c r="E28" s="149"/>
      <c r="F28" s="150"/>
      <c r="G28" s="84">
        <f>+G27</f>
        <v>373787000</v>
      </c>
    </row>
    <row r="29" spans="1:7" ht="72" customHeight="1">
      <c r="A29" s="151"/>
      <c r="B29" s="64" t="s">
        <v>308</v>
      </c>
      <c r="C29" s="64" t="s">
        <v>316</v>
      </c>
      <c r="D29" s="13" t="s">
        <v>309</v>
      </c>
      <c r="E29" s="13" t="s">
        <v>282</v>
      </c>
      <c r="F29" s="89" t="s">
        <v>284</v>
      </c>
      <c r="G29" s="67">
        <v>115749000</v>
      </c>
    </row>
    <row r="30" spans="1:7" ht="13.5">
      <c r="A30" s="151"/>
      <c r="B30" s="148" t="s">
        <v>21</v>
      </c>
      <c r="C30" s="149"/>
      <c r="D30" s="149"/>
      <c r="E30" s="149"/>
      <c r="F30" s="150"/>
      <c r="G30" s="84">
        <f>+G29</f>
        <v>115749000</v>
      </c>
    </row>
    <row r="31" spans="1:7" ht="84.75" customHeight="1">
      <c r="A31" s="151"/>
      <c r="B31" s="64" t="s">
        <v>310</v>
      </c>
      <c r="C31" s="64" t="s">
        <v>314</v>
      </c>
      <c r="D31" s="13" t="s">
        <v>311</v>
      </c>
      <c r="E31" s="13" t="s">
        <v>282</v>
      </c>
      <c r="F31" s="89" t="s">
        <v>284</v>
      </c>
      <c r="G31" s="67">
        <v>92955000</v>
      </c>
    </row>
    <row r="32" spans="1:7" ht="13.5">
      <c r="A32" s="151"/>
      <c r="B32" s="148" t="s">
        <v>21</v>
      </c>
      <c r="C32" s="149"/>
      <c r="D32" s="149"/>
      <c r="E32" s="149"/>
      <c r="F32" s="150"/>
      <c r="G32" s="84">
        <f>+G31</f>
        <v>92955000</v>
      </c>
    </row>
    <row r="33" spans="1:7" ht="72" customHeight="1">
      <c r="A33" s="151"/>
      <c r="B33" s="64" t="s">
        <v>312</v>
      </c>
      <c r="C33" s="64" t="s">
        <v>315</v>
      </c>
      <c r="D33" s="64" t="s">
        <v>313</v>
      </c>
      <c r="E33" s="13" t="s">
        <v>282</v>
      </c>
      <c r="F33" s="13" t="s">
        <v>284</v>
      </c>
      <c r="G33" s="67">
        <v>247955000</v>
      </c>
    </row>
    <row r="34" spans="1:7" ht="13.5">
      <c r="A34" s="151"/>
      <c r="B34" s="148" t="s">
        <v>21</v>
      </c>
      <c r="C34" s="149"/>
      <c r="D34" s="149"/>
      <c r="E34" s="149"/>
      <c r="F34" s="150"/>
      <c r="G34" s="84">
        <f>+G33</f>
        <v>247955000</v>
      </c>
    </row>
    <row r="35" spans="1:105" ht="13.5" customHeight="1" thickBot="1">
      <c r="A35" s="128" t="s">
        <v>27</v>
      </c>
      <c r="B35" s="129"/>
      <c r="C35" s="129"/>
      <c r="D35" s="129"/>
      <c r="E35" s="129"/>
      <c r="F35" s="130"/>
      <c r="G35" s="85">
        <f>SUM(G26+G28+G30+G34+G32)</f>
        <v>19662605331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ht="13.5" customHeight="1" thickTop="1">
      <c r="A36" s="6"/>
      <c r="B36" s="6"/>
      <c r="C36" s="6"/>
      <c r="D36" s="6"/>
      <c r="E36" s="6"/>
      <c r="F36" s="6" t="s">
        <v>28</v>
      </c>
      <c r="G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ht="13.5" customHeight="1">
      <c r="A37" s="127" t="s">
        <v>29</v>
      </c>
      <c r="B37" s="127"/>
      <c r="C37" s="127"/>
      <c r="D37" s="127"/>
      <c r="E37" s="6"/>
      <c r="F37" s="14" t="s">
        <v>30</v>
      </c>
      <c r="G37" s="15">
        <v>9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ht="18" customHeight="1">
      <c r="A38" s="86" t="s">
        <v>31</v>
      </c>
      <c r="B38" s="145" t="s">
        <v>305</v>
      </c>
      <c r="C38" s="145"/>
      <c r="D38" s="145"/>
      <c r="E38" s="6"/>
      <c r="F38" s="14" t="s">
        <v>32</v>
      </c>
      <c r="G38" s="16">
        <v>44469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</row>
    <row r="39" spans="1:105" ht="18" customHeight="1">
      <c r="A39" s="87" t="s">
        <v>33</v>
      </c>
      <c r="B39" s="145" t="s">
        <v>306</v>
      </c>
      <c r="C39" s="145"/>
      <c r="D39" s="145"/>
      <c r="E39" s="6"/>
      <c r="F39" s="6"/>
      <c r="G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</row>
  </sheetData>
  <sheetProtection selectLockedCells="1" selectUnlockedCells="1"/>
  <mergeCells count="28">
    <mergeCell ref="A35:F35"/>
    <mergeCell ref="A37:D37"/>
    <mergeCell ref="B38:D38"/>
    <mergeCell ref="B39:D39"/>
    <mergeCell ref="C21:C25"/>
    <mergeCell ref="D21:D25"/>
    <mergeCell ref="B21:B25"/>
    <mergeCell ref="A21:A34"/>
    <mergeCell ref="B28:F28"/>
    <mergeCell ref="B30:F30"/>
    <mergeCell ref="C8:D8"/>
    <mergeCell ref="B26:F26"/>
    <mergeCell ref="E8:G8"/>
    <mergeCell ref="B9:G9"/>
    <mergeCell ref="B12:C12"/>
    <mergeCell ref="B13:C13"/>
    <mergeCell ref="B10:G10"/>
    <mergeCell ref="B15:C15"/>
    <mergeCell ref="B32:F32"/>
    <mergeCell ref="B34:F34"/>
    <mergeCell ref="A1:A3"/>
    <mergeCell ref="B1:E3"/>
    <mergeCell ref="B5:G5"/>
    <mergeCell ref="B6:D6"/>
    <mergeCell ref="F6:G6"/>
    <mergeCell ref="F7:G7"/>
    <mergeCell ref="B17:C17"/>
    <mergeCell ref="B18:C18"/>
  </mergeCells>
  <printOptions/>
  <pageMargins left="0.7874015748031497" right="0.1968503937007874" top="0.7874015748031497" bottom="0.3937007874015748" header="0.5118110236220472" footer="0.5118110236220472"/>
  <pageSetup fitToHeight="1" fitToWidth="1" horizontalDpi="600" verticalDpi="600" orientation="landscape" scale="48" r:id="rId2"/>
  <rowBreaks count="1" manualBreakCount="1">
    <brk id="45" max="8" man="1"/>
  </rowBreaks>
  <ignoredErrors>
    <ignoredError sqref="D16:D17 B13:C14 C17 B15:C15 B17 D13:D1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34"/>
  <sheetViews>
    <sheetView view="pageBreakPreview" zoomScale="91" zoomScaleSheetLayoutView="91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5.8515625" style="1" customWidth="1"/>
    <col min="2" max="3" width="37.421875" style="1" customWidth="1"/>
    <col min="4" max="4" width="22.28125" style="1" customWidth="1"/>
    <col min="5" max="5" width="32.00390625" style="1" customWidth="1"/>
    <col min="6" max="6" width="34.7109375" style="0" customWidth="1"/>
    <col min="7" max="7" width="17.00390625" style="1" customWidth="1"/>
    <col min="8" max="94" width="13.8515625" style="1" customWidth="1"/>
    <col min="95" max="113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3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1:113" ht="37.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148</v>
      </c>
      <c r="G6" s="13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1:7" ht="25.5" customHeight="1">
      <c r="A7" s="7"/>
      <c r="B7" s="8"/>
      <c r="C7" s="8"/>
      <c r="D7" s="8"/>
      <c r="E7" s="82" t="s">
        <v>98</v>
      </c>
      <c r="F7" s="135" t="s">
        <v>114</v>
      </c>
      <c r="G7" s="136"/>
    </row>
    <row r="8" spans="1:7" ht="23.25" customHeight="1">
      <c r="A8" s="79" t="s">
        <v>6</v>
      </c>
      <c r="B8" s="9">
        <v>7654</v>
      </c>
      <c r="C8" s="144" t="s">
        <v>7</v>
      </c>
      <c r="D8" s="144"/>
      <c r="E8" s="126" t="s">
        <v>157</v>
      </c>
      <c r="F8" s="126"/>
      <c r="G8" s="126"/>
    </row>
    <row r="9" spans="1:7" ht="27.75" customHeight="1">
      <c r="A9" s="80" t="s">
        <v>8</v>
      </c>
      <c r="B9" s="137" t="s">
        <v>249</v>
      </c>
      <c r="C9" s="137"/>
      <c r="D9" s="137"/>
      <c r="E9" s="137"/>
      <c r="F9" s="137"/>
      <c r="G9" s="137"/>
    </row>
    <row r="10" spans="1:7" ht="45" customHeight="1">
      <c r="A10" s="81" t="s">
        <v>9</v>
      </c>
      <c r="B10" s="138" t="s">
        <v>158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300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+E20</f>
        <v>1-100-F001 -  VA Recursos del distrito </v>
      </c>
      <c r="C13" s="146"/>
      <c r="D13" s="62">
        <f>+G20+G22+G23+G28</f>
        <v>2713065000</v>
      </c>
      <c r="E13" s="12"/>
      <c r="F13" s="12"/>
      <c r="G13" s="12"/>
    </row>
    <row r="14" spans="1:7" ht="17.25" customHeight="1">
      <c r="A14" s="10"/>
      <c r="B14" s="172" t="str">
        <f>+E24</f>
        <v>1-200-I026 - RB Contribución a las artes escénicas </v>
      </c>
      <c r="C14" s="146"/>
      <c r="D14" s="62">
        <f>+G24</f>
        <v>3000000000</v>
      </c>
      <c r="E14" s="12"/>
      <c r="F14" s="12"/>
      <c r="G14" s="12"/>
    </row>
    <row r="15" spans="1:7" ht="17.25" customHeight="1">
      <c r="A15" s="10"/>
      <c r="B15" s="103" t="str">
        <f>+E25</f>
        <v>1-601-I060 - PAS Valorización Acuerdo 724 de 2018</v>
      </c>
      <c r="C15" s="101"/>
      <c r="D15" s="62">
        <f>+G25</f>
        <v>41382639000</v>
      </c>
      <c r="E15" s="12"/>
      <c r="F15" s="12"/>
      <c r="G15" s="12"/>
    </row>
    <row r="16" spans="1:7" ht="17.25" customHeight="1">
      <c r="A16" s="10"/>
      <c r="B16" s="172" t="str">
        <f>+E26</f>
        <v>1-601-I026 - PAS Contribución a las artes escénicas</v>
      </c>
      <c r="C16" s="146"/>
      <c r="D16" s="62">
        <f>+G26</f>
        <v>179217000</v>
      </c>
      <c r="E16" s="12"/>
      <c r="F16" s="12"/>
      <c r="G16" s="12"/>
    </row>
    <row r="17" spans="1:7" ht="13.5" customHeight="1">
      <c r="A17" s="10"/>
      <c r="B17" s="147" t="s">
        <v>11</v>
      </c>
      <c r="C17" s="147"/>
      <c r="D17" s="83">
        <f>SUM(D13:D16)</f>
        <v>47274921000</v>
      </c>
      <c r="E17" s="12"/>
      <c r="F17" s="12"/>
      <c r="G17" s="12"/>
    </row>
    <row r="18" spans="1:7" ht="13.5" customHeight="1">
      <c r="A18" s="10"/>
      <c r="B18" s="10"/>
      <c r="C18" s="10"/>
      <c r="D18" s="10"/>
      <c r="E18" s="10"/>
      <c r="F18" s="10"/>
      <c r="G18" s="10"/>
    </row>
    <row r="19" spans="1:7" ht="51" customHeight="1">
      <c r="A19" s="91" t="s">
        <v>12</v>
      </c>
      <c r="B19" s="91" t="s">
        <v>13</v>
      </c>
      <c r="C19" s="91" t="s">
        <v>280</v>
      </c>
      <c r="D19" s="91" t="s">
        <v>14</v>
      </c>
      <c r="E19" s="91" t="s">
        <v>279</v>
      </c>
      <c r="F19" s="91" t="s">
        <v>283</v>
      </c>
      <c r="G19" s="91" t="s">
        <v>10</v>
      </c>
    </row>
    <row r="20" spans="1:7" ht="121.5" customHeight="1">
      <c r="A20" s="182" t="s">
        <v>248</v>
      </c>
      <c r="B20" s="93" t="s">
        <v>159</v>
      </c>
      <c r="C20" s="97" t="s">
        <v>321</v>
      </c>
      <c r="D20" s="89" t="s">
        <v>160</v>
      </c>
      <c r="E20" s="13" t="s">
        <v>282</v>
      </c>
      <c r="F20" s="89" t="s">
        <v>284</v>
      </c>
      <c r="G20" s="67">
        <v>237058551</v>
      </c>
    </row>
    <row r="21" spans="1:7" ht="18.75" customHeight="1">
      <c r="A21" s="183"/>
      <c r="B21" s="148" t="s">
        <v>21</v>
      </c>
      <c r="C21" s="149"/>
      <c r="D21" s="149"/>
      <c r="E21" s="149"/>
      <c r="F21" s="150"/>
      <c r="G21" s="92">
        <f>SUM(G20:G20)</f>
        <v>237058551</v>
      </c>
    </row>
    <row r="22" spans="1:7" ht="40.5" customHeight="1">
      <c r="A22" s="183"/>
      <c r="B22" s="174" t="s">
        <v>161</v>
      </c>
      <c r="C22" s="174" t="s">
        <v>322</v>
      </c>
      <c r="D22" s="174" t="s">
        <v>162</v>
      </c>
      <c r="E22" s="13" t="s">
        <v>282</v>
      </c>
      <c r="F22" s="89" t="s">
        <v>284</v>
      </c>
      <c r="G22" s="67">
        <v>1142585604</v>
      </c>
    </row>
    <row r="23" spans="1:7" ht="40.5" customHeight="1">
      <c r="A23" s="183"/>
      <c r="B23" s="154"/>
      <c r="C23" s="154"/>
      <c r="D23" s="154"/>
      <c r="E23" s="13" t="s">
        <v>282</v>
      </c>
      <c r="F23" s="89" t="s">
        <v>318</v>
      </c>
      <c r="G23" s="67">
        <v>1220824000</v>
      </c>
    </row>
    <row r="24" spans="1:7" ht="40.5" customHeight="1">
      <c r="A24" s="183"/>
      <c r="B24" s="154"/>
      <c r="C24" s="154"/>
      <c r="D24" s="154"/>
      <c r="E24" s="111" t="s">
        <v>296</v>
      </c>
      <c r="F24" s="89" t="s">
        <v>318</v>
      </c>
      <c r="G24" s="67">
        <v>3000000000</v>
      </c>
    </row>
    <row r="25" spans="1:7" ht="28.5" customHeight="1">
      <c r="A25" s="183"/>
      <c r="B25" s="154"/>
      <c r="C25" s="154"/>
      <c r="D25" s="154"/>
      <c r="E25" s="13" t="s">
        <v>319</v>
      </c>
      <c r="F25" s="89" t="s">
        <v>318</v>
      </c>
      <c r="G25" s="67">
        <v>41382639000</v>
      </c>
    </row>
    <row r="26" spans="1:7" ht="27">
      <c r="A26" s="183"/>
      <c r="B26" s="154"/>
      <c r="C26" s="154"/>
      <c r="D26" s="154"/>
      <c r="E26" s="13" t="s">
        <v>320</v>
      </c>
      <c r="F26" s="89" t="s">
        <v>284</v>
      </c>
      <c r="G26" s="67">
        <v>179217000</v>
      </c>
    </row>
    <row r="27" spans="1:7" ht="13.5" customHeight="1">
      <c r="A27" s="183"/>
      <c r="B27" s="148" t="s">
        <v>21</v>
      </c>
      <c r="C27" s="149"/>
      <c r="D27" s="149"/>
      <c r="E27" s="149"/>
      <c r="F27" s="150"/>
      <c r="G27" s="84">
        <f>SUM(G22:G26)</f>
        <v>46925265604</v>
      </c>
    </row>
    <row r="28" spans="1:7" ht="106.5" customHeight="1">
      <c r="A28" s="183"/>
      <c r="B28" s="89" t="s">
        <v>276</v>
      </c>
      <c r="C28" s="89" t="s">
        <v>323</v>
      </c>
      <c r="D28" s="89" t="s">
        <v>275</v>
      </c>
      <c r="E28" s="13" t="s">
        <v>282</v>
      </c>
      <c r="F28" s="89" t="s">
        <v>284</v>
      </c>
      <c r="G28" s="90">
        <v>112596845</v>
      </c>
    </row>
    <row r="29" spans="1:7" ht="13.5" customHeight="1">
      <c r="A29" s="184"/>
      <c r="B29" s="148" t="s">
        <v>21</v>
      </c>
      <c r="C29" s="149"/>
      <c r="D29" s="149"/>
      <c r="E29" s="149"/>
      <c r="F29" s="150"/>
      <c r="G29" s="100">
        <f>+G28</f>
        <v>112596845</v>
      </c>
    </row>
    <row r="30" spans="1:113" ht="13.5" customHeight="1" thickBot="1">
      <c r="A30" s="128" t="s">
        <v>27</v>
      </c>
      <c r="B30" s="129"/>
      <c r="C30" s="129"/>
      <c r="D30" s="129"/>
      <c r="E30" s="129"/>
      <c r="F30" s="130"/>
      <c r="G30" s="85">
        <f>+G29+G27+G21</f>
        <v>47274921000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1:113" ht="13.5" customHeight="1" thickTop="1">
      <c r="A31" s="6"/>
      <c r="B31" s="6"/>
      <c r="C31" s="6"/>
      <c r="D31" s="6"/>
      <c r="E31" s="6"/>
      <c r="F31" s="6" t="s">
        <v>28</v>
      </c>
      <c r="G31" s="6"/>
      <c r="H31" s="25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1:113" ht="13.5" customHeight="1">
      <c r="A32" s="181" t="s">
        <v>29</v>
      </c>
      <c r="B32" s="181"/>
      <c r="C32" s="181"/>
      <c r="D32" s="181"/>
      <c r="E32" s="6"/>
      <c r="F32" s="14" t="s">
        <v>30</v>
      </c>
      <c r="G32" s="15">
        <v>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1:113" ht="18" customHeight="1">
      <c r="A33" s="69" t="s">
        <v>31</v>
      </c>
      <c r="B33" s="145" t="s">
        <v>317</v>
      </c>
      <c r="C33" s="145"/>
      <c r="D33" s="145"/>
      <c r="E33" s="6"/>
      <c r="F33" s="14" t="s">
        <v>32</v>
      </c>
      <c r="G33" s="16">
        <v>44469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1:113" ht="18" customHeight="1">
      <c r="A34" s="65" t="s">
        <v>33</v>
      </c>
      <c r="B34" s="145" t="s">
        <v>163</v>
      </c>
      <c r="C34" s="145"/>
      <c r="D34" s="145"/>
      <c r="E34" s="6"/>
      <c r="F34" s="6"/>
      <c r="G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</sheetData>
  <sheetProtection selectLockedCells="1" selectUnlockedCells="1"/>
  <mergeCells count="26">
    <mergeCell ref="A30:F30"/>
    <mergeCell ref="A32:D32"/>
    <mergeCell ref="B33:D33"/>
    <mergeCell ref="B34:D34"/>
    <mergeCell ref="C22:C26"/>
    <mergeCell ref="B22:B26"/>
    <mergeCell ref="D22:D26"/>
    <mergeCell ref="B29:F29"/>
    <mergeCell ref="A20:A29"/>
    <mergeCell ref="B21:F21"/>
    <mergeCell ref="A1:A3"/>
    <mergeCell ref="B1:E3"/>
    <mergeCell ref="B5:G5"/>
    <mergeCell ref="B6:D6"/>
    <mergeCell ref="F6:G6"/>
    <mergeCell ref="B27:F27"/>
    <mergeCell ref="B17:C17"/>
    <mergeCell ref="B10:G10"/>
    <mergeCell ref="B14:C14"/>
    <mergeCell ref="B16:C16"/>
    <mergeCell ref="B13:C13"/>
    <mergeCell ref="F7:G7"/>
    <mergeCell ref="C8:D8"/>
    <mergeCell ref="E8:G8"/>
    <mergeCell ref="B9:G9"/>
    <mergeCell ref="B12:C12"/>
  </mergeCells>
  <printOptions/>
  <pageMargins left="0.7875" right="0.19652777777777777" top="0.7875" bottom="0.39375" header="0.5118055555555555" footer="0.5118055555555555"/>
  <pageSetup fitToHeight="1" fitToWidth="1" horizontalDpi="600" verticalDpi="600" orientation="landscape" scale="56" r:id="rId2"/>
  <ignoredErrors>
    <ignoredError sqref="B13:C16 D13:D16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27"/>
  <sheetViews>
    <sheetView view="pageBreakPreview" zoomScale="90" zoomScaleNormal="80" zoomScaleSheetLayoutView="90" workbookViewId="0" topLeftCell="A1">
      <selection activeCell="A1" sqref="A1:A3"/>
    </sheetView>
  </sheetViews>
  <sheetFormatPr defaultColWidth="13.7109375" defaultRowHeight="12.75" customHeight="1"/>
  <cols>
    <col min="1" max="1" width="25.8515625" style="1" customWidth="1"/>
    <col min="2" max="2" width="36.57421875" style="1" customWidth="1"/>
    <col min="3" max="3" width="38.28125" style="1" customWidth="1"/>
    <col min="4" max="4" width="24.28125" style="1" customWidth="1"/>
    <col min="5" max="5" width="23.140625" style="1" customWidth="1"/>
    <col min="6" max="6" width="36.421875" style="0" customWidth="1"/>
    <col min="7" max="7" width="17.00390625" style="1" customWidth="1"/>
    <col min="8" max="94" width="13.8515625" style="1" customWidth="1"/>
    <col min="95" max="113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13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1:113" ht="41.2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148</v>
      </c>
      <c r="G6" s="13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1:7" ht="25.5" customHeight="1">
      <c r="A7" s="7"/>
      <c r="B7" s="8"/>
      <c r="C7" s="8"/>
      <c r="D7" s="8"/>
      <c r="E7" s="82" t="s">
        <v>98</v>
      </c>
      <c r="F7" s="135" t="s">
        <v>114</v>
      </c>
      <c r="G7" s="136"/>
    </row>
    <row r="8" spans="1:7" ht="23.25" customHeight="1">
      <c r="A8" s="79" t="s">
        <v>6</v>
      </c>
      <c r="B8" s="9">
        <v>7886</v>
      </c>
      <c r="C8" s="144" t="s">
        <v>7</v>
      </c>
      <c r="D8" s="144"/>
      <c r="E8" s="186" t="s">
        <v>164</v>
      </c>
      <c r="F8" s="187"/>
      <c r="G8" s="188"/>
    </row>
    <row r="9" spans="1:7" ht="27.75" customHeight="1">
      <c r="A9" s="80" t="s">
        <v>8</v>
      </c>
      <c r="B9" s="137" t="s">
        <v>165</v>
      </c>
      <c r="C9" s="137"/>
      <c r="D9" s="137"/>
      <c r="E9" s="137"/>
      <c r="F9" s="137"/>
      <c r="G9" s="137"/>
    </row>
    <row r="10" spans="1:7" ht="58.5" customHeight="1">
      <c r="A10" s="81" t="s">
        <v>9</v>
      </c>
      <c r="B10" s="137" t="s">
        <v>166</v>
      </c>
      <c r="C10" s="137"/>
      <c r="D10" s="137"/>
      <c r="E10" s="137"/>
      <c r="F10" s="137"/>
      <c r="G10" s="137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332</v>
      </c>
      <c r="C12" s="139"/>
      <c r="D12" s="88" t="s">
        <v>10</v>
      </c>
      <c r="E12" s="12"/>
      <c r="F12" s="12"/>
      <c r="G12" s="12"/>
    </row>
    <row r="13" spans="1:7" ht="17.25" customHeight="1">
      <c r="A13" s="10"/>
      <c r="B13" s="172" t="str">
        <f>+E17</f>
        <v>1-100-F001 -  VA Recursos del distrito </v>
      </c>
      <c r="C13" s="146"/>
      <c r="D13" s="62">
        <f>+G17+G19+G21</f>
        <v>942786000</v>
      </c>
      <c r="E13" s="12"/>
      <c r="F13" s="12"/>
      <c r="G13" s="12"/>
    </row>
    <row r="14" spans="1:7" ht="13.5" customHeight="1">
      <c r="A14" s="10"/>
      <c r="B14" s="147" t="s">
        <v>11</v>
      </c>
      <c r="C14" s="147"/>
      <c r="D14" s="83">
        <f>SUM(D13:D13)</f>
        <v>942786000</v>
      </c>
      <c r="E14" s="12"/>
      <c r="F14" s="12"/>
      <c r="G14" s="12"/>
    </row>
    <row r="15" spans="1:7" ht="13.5" customHeight="1">
      <c r="A15" s="10"/>
      <c r="B15" s="10"/>
      <c r="C15" s="10"/>
      <c r="D15" s="10"/>
      <c r="E15" s="10"/>
      <c r="F15" s="10"/>
      <c r="G15" s="10"/>
    </row>
    <row r="16" spans="1:7" ht="51" customHeight="1">
      <c r="A16" s="91" t="s">
        <v>12</v>
      </c>
      <c r="B16" s="91" t="s">
        <v>13</v>
      </c>
      <c r="C16" s="91" t="s">
        <v>280</v>
      </c>
      <c r="D16" s="91" t="s">
        <v>14</v>
      </c>
      <c r="E16" s="91" t="s">
        <v>279</v>
      </c>
      <c r="F16" s="91" t="s">
        <v>283</v>
      </c>
      <c r="G16" s="91" t="s">
        <v>10</v>
      </c>
    </row>
    <row r="17" spans="1:7" ht="66" customHeight="1">
      <c r="A17" s="185" t="s">
        <v>265</v>
      </c>
      <c r="B17" s="112" t="s">
        <v>167</v>
      </c>
      <c r="C17" s="113" t="s">
        <v>328</v>
      </c>
      <c r="D17" s="102" t="s">
        <v>168</v>
      </c>
      <c r="E17" s="13" t="s">
        <v>282</v>
      </c>
      <c r="F17" s="89" t="s">
        <v>284</v>
      </c>
      <c r="G17" s="90">
        <v>711815943</v>
      </c>
    </row>
    <row r="18" spans="1:7" ht="13.5" customHeight="1">
      <c r="A18" s="185"/>
      <c r="B18" s="149" t="s">
        <v>21</v>
      </c>
      <c r="C18" s="149"/>
      <c r="D18" s="149"/>
      <c r="E18" s="149"/>
      <c r="F18" s="150"/>
      <c r="G18" s="84">
        <f>SUM(G17:G17)</f>
        <v>711815943</v>
      </c>
    </row>
    <row r="19" spans="1:7" ht="57" customHeight="1">
      <c r="A19" s="185"/>
      <c r="B19" s="105" t="s">
        <v>325</v>
      </c>
      <c r="C19" s="113" t="s">
        <v>329</v>
      </c>
      <c r="D19" s="102" t="s">
        <v>326</v>
      </c>
      <c r="E19" s="13" t="s">
        <v>282</v>
      </c>
      <c r="F19" s="89" t="s">
        <v>284</v>
      </c>
      <c r="G19" s="90">
        <v>98615354</v>
      </c>
    </row>
    <row r="20" spans="1:7" ht="13.5" customHeight="1">
      <c r="A20" s="185"/>
      <c r="B20" s="149" t="s">
        <v>21</v>
      </c>
      <c r="C20" s="149"/>
      <c r="D20" s="149"/>
      <c r="E20" s="149"/>
      <c r="F20" s="150"/>
      <c r="G20" s="84">
        <f>SUM(G19:G19)</f>
        <v>98615354</v>
      </c>
    </row>
    <row r="21" spans="1:7" ht="83.25" customHeight="1">
      <c r="A21" s="185"/>
      <c r="B21" s="105" t="s">
        <v>327</v>
      </c>
      <c r="C21" s="113" t="s">
        <v>330</v>
      </c>
      <c r="D21" s="102" t="s">
        <v>331</v>
      </c>
      <c r="E21" s="13" t="s">
        <v>282</v>
      </c>
      <c r="F21" s="89" t="s">
        <v>284</v>
      </c>
      <c r="G21" s="90">
        <v>132354703</v>
      </c>
    </row>
    <row r="22" spans="1:7" ht="13.5" customHeight="1">
      <c r="A22" s="185"/>
      <c r="B22" s="149" t="s">
        <v>21</v>
      </c>
      <c r="C22" s="149"/>
      <c r="D22" s="149"/>
      <c r="E22" s="149"/>
      <c r="F22" s="150"/>
      <c r="G22" s="84">
        <f>SUM(G21:G21)</f>
        <v>132354703</v>
      </c>
    </row>
    <row r="23" spans="1:113" ht="13.5" customHeight="1" thickBot="1">
      <c r="A23" s="189" t="s">
        <v>27</v>
      </c>
      <c r="B23" s="129"/>
      <c r="C23" s="129"/>
      <c r="D23" s="129"/>
      <c r="E23" s="129"/>
      <c r="F23" s="130"/>
      <c r="G23" s="85">
        <f>+G22+G20+G18</f>
        <v>942786000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1:113" ht="13.5" customHeight="1" thickTop="1">
      <c r="A24" s="6"/>
      <c r="B24" s="6"/>
      <c r="C24" s="6"/>
      <c r="D24" s="6"/>
      <c r="E24" s="6"/>
      <c r="F24" s="6" t="s">
        <v>28</v>
      </c>
      <c r="G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ht="13.5" customHeight="1">
      <c r="A25" s="127" t="s">
        <v>29</v>
      </c>
      <c r="B25" s="127"/>
      <c r="C25" s="127"/>
      <c r="D25" s="127"/>
      <c r="E25" s="6"/>
      <c r="F25" s="14" t="s">
        <v>30</v>
      </c>
      <c r="G25" s="15">
        <v>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ht="18" customHeight="1">
      <c r="A26" s="86" t="s">
        <v>31</v>
      </c>
      <c r="B26" s="145" t="s">
        <v>324</v>
      </c>
      <c r="C26" s="145"/>
      <c r="D26" s="145"/>
      <c r="E26" s="6"/>
      <c r="F26" s="14" t="s">
        <v>32</v>
      </c>
      <c r="G26" s="16">
        <v>44469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ht="18" customHeight="1">
      <c r="A27" s="87" t="s">
        <v>33</v>
      </c>
      <c r="B27" s="145" t="s">
        <v>163</v>
      </c>
      <c r="C27" s="145"/>
      <c r="D27" s="145"/>
      <c r="E27" s="6"/>
      <c r="F27" s="6"/>
      <c r="G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</sheetData>
  <sheetProtection selectLockedCells="1" selectUnlockedCells="1"/>
  <mergeCells count="21">
    <mergeCell ref="A1:A3"/>
    <mergeCell ref="B1:E3"/>
    <mergeCell ref="B5:G5"/>
    <mergeCell ref="B6:D6"/>
    <mergeCell ref="F6:G6"/>
    <mergeCell ref="F7:G7"/>
    <mergeCell ref="E8:G8"/>
    <mergeCell ref="B13:C13"/>
    <mergeCell ref="B26:D26"/>
    <mergeCell ref="B10:G10"/>
    <mergeCell ref="A23:F23"/>
    <mergeCell ref="B14:C14"/>
    <mergeCell ref="C8:D8"/>
    <mergeCell ref="B27:D27"/>
    <mergeCell ref="B18:F18"/>
    <mergeCell ref="B9:G9"/>
    <mergeCell ref="A25:D25"/>
    <mergeCell ref="B12:C12"/>
    <mergeCell ref="B20:F20"/>
    <mergeCell ref="B22:F22"/>
    <mergeCell ref="A17:A22"/>
  </mergeCells>
  <printOptions/>
  <pageMargins left="0.7874015748031497" right="0.1968503937007874" top="0.35433070866141736" bottom="0.3937007874015748" header="0.5118110236220472" footer="0.5118110236220472"/>
  <pageSetup fitToHeight="0" fitToWidth="1" horizontalDpi="600" verticalDpi="600" orientation="landscape" scale="64" r:id="rId2"/>
  <colBreaks count="1" manualBreakCount="1">
    <brk id="6" max="65535" man="1"/>
  </colBreaks>
  <ignoredErrors>
    <ignoredError sqref="B13 D1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31"/>
  <sheetViews>
    <sheetView view="pageBreakPreview" zoomScale="90" zoomScaleNormal="90" zoomScaleSheetLayoutView="90" zoomScalePageLayoutView="0" workbookViewId="0" topLeftCell="A1">
      <selection activeCell="A1" sqref="A1:A3"/>
    </sheetView>
  </sheetViews>
  <sheetFormatPr defaultColWidth="13.7109375" defaultRowHeight="12.75" customHeight="1"/>
  <cols>
    <col min="1" max="1" width="25.8515625" style="1" customWidth="1"/>
    <col min="2" max="2" width="33.140625" style="1" customWidth="1"/>
    <col min="3" max="3" width="33.57421875" style="1" customWidth="1"/>
    <col min="4" max="4" width="27.28125" style="1" customWidth="1"/>
    <col min="5" max="5" width="24.57421875" style="1" customWidth="1"/>
    <col min="6" max="6" width="42.140625" style="0" customWidth="1"/>
    <col min="7" max="7" width="17.00390625" style="1" customWidth="1"/>
    <col min="8" max="83" width="13.8515625" style="1" customWidth="1"/>
    <col min="84" max="102" width="14.00390625" style="1" customWidth="1"/>
  </cols>
  <sheetData>
    <row r="1" spans="1:7" ht="18.75" customHeight="1">
      <c r="A1" s="140"/>
      <c r="B1" s="141" t="s">
        <v>277</v>
      </c>
      <c r="C1" s="141"/>
      <c r="D1" s="141"/>
      <c r="E1" s="141"/>
      <c r="F1" s="2" t="s">
        <v>0</v>
      </c>
      <c r="G1" s="3" t="s">
        <v>1</v>
      </c>
    </row>
    <row r="2" spans="1:7" ht="21" customHeight="1">
      <c r="A2" s="140"/>
      <c r="B2" s="141"/>
      <c r="C2" s="141"/>
      <c r="D2" s="141"/>
      <c r="E2" s="141"/>
      <c r="F2" s="2" t="s">
        <v>2</v>
      </c>
      <c r="G2" s="4" t="s">
        <v>58</v>
      </c>
    </row>
    <row r="3" spans="1:7" ht="18.75" customHeight="1">
      <c r="A3" s="140"/>
      <c r="B3" s="141"/>
      <c r="C3" s="141"/>
      <c r="D3" s="141"/>
      <c r="E3" s="141"/>
      <c r="F3" s="2" t="s">
        <v>3</v>
      </c>
      <c r="G3" s="5">
        <v>42933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02" ht="15.75" customHeight="1">
      <c r="A5" s="77" t="s">
        <v>4</v>
      </c>
      <c r="B5" s="142" t="s">
        <v>110</v>
      </c>
      <c r="C5" s="142"/>
      <c r="D5" s="142"/>
      <c r="E5" s="142"/>
      <c r="F5" s="142"/>
      <c r="G5" s="142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ht="26.25" customHeight="1">
      <c r="A6" s="78" t="s">
        <v>97</v>
      </c>
      <c r="B6" s="143" t="s">
        <v>111</v>
      </c>
      <c r="C6" s="143"/>
      <c r="D6" s="143"/>
      <c r="E6" s="82" t="s">
        <v>5</v>
      </c>
      <c r="F6" s="135" t="s">
        <v>169</v>
      </c>
      <c r="G6" s="13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7" ht="24.75" customHeight="1">
      <c r="A7" s="7"/>
      <c r="B7" s="8"/>
      <c r="C7" s="8"/>
      <c r="D7" s="8"/>
      <c r="E7" s="82" t="s">
        <v>98</v>
      </c>
      <c r="F7" s="135" t="s">
        <v>250</v>
      </c>
      <c r="G7" s="136"/>
    </row>
    <row r="8" spans="1:7" ht="23.25" customHeight="1">
      <c r="A8" s="79" t="s">
        <v>6</v>
      </c>
      <c r="B8" s="9">
        <v>7881</v>
      </c>
      <c r="C8" s="144" t="s">
        <v>7</v>
      </c>
      <c r="D8" s="144"/>
      <c r="E8" s="199" t="s">
        <v>170</v>
      </c>
      <c r="F8" s="126"/>
      <c r="G8" s="126"/>
    </row>
    <row r="9" spans="1:7" ht="29.25" customHeight="1">
      <c r="A9" s="80" t="s">
        <v>8</v>
      </c>
      <c r="B9" s="137" t="s">
        <v>171</v>
      </c>
      <c r="C9" s="137"/>
      <c r="D9" s="137"/>
      <c r="E9" s="137"/>
      <c r="F9" s="137"/>
      <c r="G9" s="137"/>
    </row>
    <row r="10" spans="1:7" ht="62.25" customHeight="1">
      <c r="A10" s="81" t="s">
        <v>9</v>
      </c>
      <c r="B10" s="138" t="s">
        <v>172</v>
      </c>
      <c r="C10" s="138"/>
      <c r="D10" s="138"/>
      <c r="E10" s="138"/>
      <c r="F10" s="138"/>
      <c r="G10" s="138"/>
    </row>
    <row r="11" spans="1:7" ht="13.5" customHeight="1">
      <c r="A11" s="10"/>
      <c r="B11" s="8"/>
      <c r="C11" s="8"/>
      <c r="D11" s="11"/>
      <c r="E11" s="12"/>
      <c r="F11" s="12"/>
      <c r="G11" s="12"/>
    </row>
    <row r="12" spans="1:7" ht="13.5" customHeight="1">
      <c r="A12" s="10"/>
      <c r="B12" s="139" t="s">
        <v>297</v>
      </c>
      <c r="C12" s="139"/>
      <c r="D12" s="88" t="s">
        <v>10</v>
      </c>
      <c r="E12" s="12"/>
      <c r="F12" s="12"/>
      <c r="G12" s="12"/>
    </row>
    <row r="13" spans="1:7" ht="13.5" customHeight="1">
      <c r="A13" s="10"/>
      <c r="B13" s="172" t="str">
        <f>+E23</f>
        <v>1-100-I036 - VA-Convenios </v>
      </c>
      <c r="C13" s="146"/>
      <c r="D13" s="62">
        <f>+G23</f>
        <v>3713177101</v>
      </c>
      <c r="E13" s="12"/>
      <c r="F13" s="12"/>
      <c r="G13" s="12"/>
    </row>
    <row r="14" spans="1:7" ht="13.5" customHeight="1">
      <c r="A14" s="10"/>
      <c r="B14" s="71" t="s">
        <v>289</v>
      </c>
      <c r="C14" s="101"/>
      <c r="D14" s="62">
        <f>+G22</f>
        <v>1760777137</v>
      </c>
      <c r="E14" s="12"/>
      <c r="F14" s="12"/>
      <c r="G14" s="12"/>
    </row>
    <row r="15" spans="1:7" ht="17.25" customHeight="1">
      <c r="A15" s="10"/>
      <c r="B15" s="172" t="str">
        <f>+E19</f>
        <v>1-100-F001 -  VA Recursos del distrito </v>
      </c>
      <c r="C15" s="146"/>
      <c r="D15" s="62">
        <f>+G19+G21+G25</f>
        <v>1788008000</v>
      </c>
      <c r="E15" s="12"/>
      <c r="F15" s="12"/>
      <c r="G15" s="12"/>
    </row>
    <row r="16" spans="1:7" ht="13.5" customHeight="1">
      <c r="A16" s="10"/>
      <c r="B16" s="197" t="s">
        <v>11</v>
      </c>
      <c r="C16" s="198"/>
      <c r="D16" s="83">
        <f>SUM(D13:D15)</f>
        <v>7261962238</v>
      </c>
      <c r="E16" s="12"/>
      <c r="F16" s="12"/>
      <c r="G16" s="12"/>
    </row>
    <row r="17" spans="1:7" ht="13.5" customHeight="1">
      <c r="A17" s="10"/>
      <c r="B17" s="10"/>
      <c r="C17" s="10"/>
      <c r="D17" s="10"/>
      <c r="E17" s="10"/>
      <c r="F17" s="10"/>
      <c r="G17" s="10"/>
    </row>
    <row r="18" spans="1:7" ht="51" customHeight="1">
      <c r="A18" s="91" t="s">
        <v>12</v>
      </c>
      <c r="B18" s="91" t="s">
        <v>13</v>
      </c>
      <c r="C18" s="91" t="s">
        <v>280</v>
      </c>
      <c r="D18" s="91" t="s">
        <v>14</v>
      </c>
      <c r="E18" s="91" t="s">
        <v>279</v>
      </c>
      <c r="F18" s="91" t="s">
        <v>283</v>
      </c>
      <c r="G18" s="91" t="s">
        <v>10</v>
      </c>
    </row>
    <row r="19" spans="1:7" ht="102.75" customHeight="1">
      <c r="A19" s="170" t="s">
        <v>251</v>
      </c>
      <c r="B19" s="102" t="s">
        <v>199</v>
      </c>
      <c r="C19" s="102" t="s">
        <v>199</v>
      </c>
      <c r="D19" s="102" t="s">
        <v>200</v>
      </c>
      <c r="E19" s="13" t="s">
        <v>282</v>
      </c>
      <c r="F19" s="89" t="s">
        <v>284</v>
      </c>
      <c r="G19" s="94">
        <v>125203888</v>
      </c>
    </row>
    <row r="20" spans="1:7" ht="18.75" customHeight="1">
      <c r="A20" s="152"/>
      <c r="B20" s="148" t="s">
        <v>21</v>
      </c>
      <c r="C20" s="149"/>
      <c r="D20" s="149"/>
      <c r="E20" s="149"/>
      <c r="F20" s="150"/>
      <c r="G20" s="98">
        <f>SUM(G19:G19)</f>
        <v>125203888</v>
      </c>
    </row>
    <row r="21" spans="1:7" ht="47.25" customHeight="1">
      <c r="A21" s="190" t="s">
        <v>272</v>
      </c>
      <c r="B21" s="194" t="s">
        <v>201</v>
      </c>
      <c r="C21" s="169" t="s">
        <v>201</v>
      </c>
      <c r="D21" s="169" t="s">
        <v>202</v>
      </c>
      <c r="E21" s="89" t="s">
        <v>282</v>
      </c>
      <c r="F21" s="89" t="s">
        <v>284</v>
      </c>
      <c r="G21" s="72">
        <v>989090658</v>
      </c>
    </row>
    <row r="22" spans="1:7" ht="47.25" customHeight="1">
      <c r="A22" s="191"/>
      <c r="B22" s="216"/>
      <c r="C22" s="217"/>
      <c r="D22" s="217"/>
      <c r="E22" s="89" t="s">
        <v>289</v>
      </c>
      <c r="F22" s="89" t="s">
        <v>284</v>
      </c>
      <c r="G22" s="72">
        <v>1760777137</v>
      </c>
    </row>
    <row r="23" spans="1:7" ht="47.25" customHeight="1">
      <c r="A23" s="191"/>
      <c r="B23" s="195"/>
      <c r="C23" s="168"/>
      <c r="D23" s="168"/>
      <c r="E23" s="89" t="s">
        <v>345</v>
      </c>
      <c r="F23" s="89" t="s">
        <v>284</v>
      </c>
      <c r="G23" s="72">
        <v>3713177101</v>
      </c>
    </row>
    <row r="24" spans="1:7" ht="18.75" customHeight="1">
      <c r="A24" s="192"/>
      <c r="B24" s="196" t="s">
        <v>21</v>
      </c>
      <c r="C24" s="149"/>
      <c r="D24" s="149"/>
      <c r="E24" s="149"/>
      <c r="F24" s="150"/>
      <c r="G24" s="95">
        <f>SUM(G21:G23)</f>
        <v>6463044896</v>
      </c>
    </row>
    <row r="25" spans="1:7" ht="83.25" customHeight="1">
      <c r="A25" s="193" t="s">
        <v>203</v>
      </c>
      <c r="B25" s="104" t="s">
        <v>203</v>
      </c>
      <c r="C25" s="104" t="s">
        <v>203</v>
      </c>
      <c r="D25" s="104" t="s">
        <v>204</v>
      </c>
      <c r="E25" s="13" t="s">
        <v>282</v>
      </c>
      <c r="F25" s="89" t="s">
        <v>284</v>
      </c>
      <c r="G25" s="72">
        <v>673713454</v>
      </c>
    </row>
    <row r="26" spans="1:7" ht="13.5" customHeight="1">
      <c r="A26" s="193"/>
      <c r="B26" s="148" t="s">
        <v>21</v>
      </c>
      <c r="C26" s="149"/>
      <c r="D26" s="149"/>
      <c r="E26" s="149"/>
      <c r="F26" s="150"/>
      <c r="G26" s="84">
        <f>SUM(G25:G25)</f>
        <v>673713454</v>
      </c>
    </row>
    <row r="27" spans="1:102" ht="13.5" customHeight="1" thickBot="1">
      <c r="A27" s="128" t="s">
        <v>27</v>
      </c>
      <c r="B27" s="129"/>
      <c r="C27" s="129"/>
      <c r="D27" s="129"/>
      <c r="E27" s="129"/>
      <c r="F27" s="130"/>
      <c r="G27" s="85">
        <f>+G24+G20+G26</f>
        <v>7261962238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3.5" customHeight="1" thickTop="1">
      <c r="A28" s="6"/>
      <c r="B28" s="6"/>
      <c r="C28" s="6"/>
      <c r="D28" s="6"/>
      <c r="E28" s="6"/>
      <c r="F28" s="6" t="s">
        <v>28</v>
      </c>
      <c r="G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13.5" customHeight="1">
      <c r="A29" s="127" t="s">
        <v>29</v>
      </c>
      <c r="B29" s="127"/>
      <c r="C29" s="127"/>
      <c r="D29" s="127"/>
      <c r="E29" s="6"/>
      <c r="F29" s="14" t="s">
        <v>30</v>
      </c>
      <c r="G29" s="15">
        <v>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8" customHeight="1">
      <c r="A30" s="86" t="s">
        <v>31</v>
      </c>
      <c r="B30" s="145" t="s">
        <v>174</v>
      </c>
      <c r="C30" s="145"/>
      <c r="D30" s="145"/>
      <c r="E30" s="6"/>
      <c r="F30" s="14" t="s">
        <v>32</v>
      </c>
      <c r="G30" s="16">
        <v>44469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8" customHeight="1">
      <c r="A31" s="87" t="s">
        <v>33</v>
      </c>
      <c r="B31" s="145" t="s">
        <v>173</v>
      </c>
      <c r="C31" s="145"/>
      <c r="D31" s="145"/>
      <c r="E31" s="6"/>
      <c r="F31" s="6"/>
      <c r="G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</sheetData>
  <sheetProtection selectLockedCells="1" selectUnlockedCells="1"/>
  <mergeCells count="27">
    <mergeCell ref="C8:D8"/>
    <mergeCell ref="E8:G8"/>
    <mergeCell ref="A1:A3"/>
    <mergeCell ref="B1:E3"/>
    <mergeCell ref="B5:G5"/>
    <mergeCell ref="B6:D6"/>
    <mergeCell ref="F6:G6"/>
    <mergeCell ref="F7:G7"/>
    <mergeCell ref="B12:C12"/>
    <mergeCell ref="B15:C15"/>
    <mergeCell ref="A29:D29"/>
    <mergeCell ref="B10:G10"/>
    <mergeCell ref="B9:G9"/>
    <mergeCell ref="B24:F24"/>
    <mergeCell ref="A27:F27"/>
    <mergeCell ref="B16:C16"/>
    <mergeCell ref="B13:C13"/>
    <mergeCell ref="C21:C23"/>
    <mergeCell ref="B30:D30"/>
    <mergeCell ref="B31:D31"/>
    <mergeCell ref="A19:A20"/>
    <mergeCell ref="A21:A24"/>
    <mergeCell ref="B20:F20"/>
    <mergeCell ref="B26:F26"/>
    <mergeCell ref="A25:A26"/>
    <mergeCell ref="B21:B23"/>
    <mergeCell ref="D21:D23"/>
  </mergeCells>
  <printOptions/>
  <pageMargins left="0.7875" right="0.39375" top="0.39375" bottom="0.19652777777777777" header="0.5118055555555555" footer="0.5118055555555555"/>
  <pageSetup fitToHeight="0" fitToWidth="1" horizontalDpi="600" verticalDpi="600" orientation="landscape" scale="62" r:id="rId2"/>
  <ignoredErrors>
    <ignoredError sqref="D13:D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Navarro</dc:creator>
  <cp:keywords/>
  <dc:description/>
  <cp:lastModifiedBy>LUIS GIOVANNI NAVARRO ROJAS</cp:lastModifiedBy>
  <cp:lastPrinted>2019-07-15T19:55:08Z</cp:lastPrinted>
  <dcterms:created xsi:type="dcterms:W3CDTF">2017-05-02T17:03:14Z</dcterms:created>
  <dcterms:modified xsi:type="dcterms:W3CDTF">2021-10-28T02:00:52Z</dcterms:modified>
  <cp:category/>
  <cp:version/>
  <cp:contentType/>
  <cp:contentStatus/>
</cp:coreProperties>
</file>